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Recht-Pfarren\11_Unterlagen für MA-Handbuch\"/>
    </mc:Choice>
  </mc:AlternateContent>
  <workbookProtection workbookPassword="DB57" lockStructure="1"/>
  <bookViews>
    <workbookView xWindow="-120" yWindow="-120" windowWidth="29040" windowHeight="15840" firstSheet="2" activeTab="2"/>
  </bookViews>
  <sheets>
    <sheet name="Static Data" sheetId="81" state="hidden" r:id="rId1"/>
    <sheet name="Beispiele" sheetId="80" r:id="rId2"/>
    <sheet name="Start" sheetId="59" r:id="rId3"/>
    <sheet name="Jän" sheetId="58" r:id="rId4"/>
    <sheet name="Feb" sheetId="60" r:id="rId5"/>
    <sheet name="Mär" sheetId="61" r:id="rId6"/>
    <sheet name="Apr" sheetId="62" r:id="rId7"/>
    <sheet name="Mai" sheetId="63" r:id="rId8"/>
    <sheet name="Jun" sheetId="64" r:id="rId9"/>
    <sheet name="Jul" sheetId="65" r:id="rId10"/>
    <sheet name="Aug" sheetId="66" r:id="rId11"/>
    <sheet name="Sep" sheetId="67" r:id="rId12"/>
    <sheet name="Okt" sheetId="68" r:id="rId13"/>
    <sheet name="Nov" sheetId="69" r:id="rId14"/>
    <sheet name="Dez" sheetId="70" r:id="rId15"/>
    <sheet name="Feiertage" sheetId="75" r:id="rId16"/>
    <sheet name="Zsfg" sheetId="78" state="hidden" r:id="rId17"/>
    <sheet name="Erläuterungen" sheetId="79" r:id="rId18"/>
  </sheets>
  <definedNames>
    <definedName name="arbeitsfrei">OR(Jun!XFB1="Sa",Jun!XFB1="So",Jun!XFB1="frei")</definedName>
    <definedName name="arbeitszeitrelevant">OR(Jun!XFD1&gt;0,Jun!XEZ1="ZA",Jun!XEZ1="Faschingsdienstag ZA")</definedName>
    <definedName name="Di">'Static Data'!$A$22</definedName>
    <definedName name="Dienstag">Start!$B$19</definedName>
    <definedName name="Do">'Static Data'!$A$24</definedName>
    <definedName name="Donnerstag">Start!$B$21</definedName>
    <definedName name="_xlnm.Print_Area" localSheetId="6">Apr!$A$1:$L$51</definedName>
    <definedName name="_xlnm.Print_Area" localSheetId="10">Aug!$A$1:$L$51</definedName>
    <definedName name="_xlnm.Print_Area" localSheetId="14">Dez!$A$1:$L$51</definedName>
    <definedName name="_xlnm.Print_Area" localSheetId="4">Feb!$A$1:$L$51</definedName>
    <definedName name="_xlnm.Print_Area" localSheetId="15">Feiertage!$A$1:$D$33</definedName>
    <definedName name="_xlnm.Print_Area" localSheetId="3">Jän!$A$1:$L$51</definedName>
    <definedName name="_xlnm.Print_Area" localSheetId="9">Jul!$A$1:$L$51</definedName>
    <definedName name="_xlnm.Print_Area" localSheetId="8">Jun!$A$1:$L$54</definedName>
    <definedName name="_xlnm.Print_Area" localSheetId="7">Mai!$A$1:$L$51</definedName>
    <definedName name="_xlnm.Print_Area" localSheetId="5">Mär!$A$1:$L$51</definedName>
    <definedName name="_xlnm.Print_Area" localSheetId="13">Nov!$A$1:$L$51</definedName>
    <definedName name="_xlnm.Print_Area" localSheetId="12">Okt!$A$1:$L$51</definedName>
    <definedName name="_xlnm.Print_Area" localSheetId="11">Sep!$A$1:$L$51</definedName>
    <definedName name="_xlnm.Print_Area" localSheetId="2">Start!$A$1:$S$51</definedName>
    <definedName name="_xlnm.Print_Area" localSheetId="16">Zsfg!$A$2:$L$22</definedName>
    <definedName name="Faschingsdienstag">OR(Jun!XFA8="Faschingsdienstag",Jun!XFA8="Faschingsdienstag ZA")</definedName>
    <definedName name="Fr">'Static Data'!$A$25</definedName>
    <definedName name="Freitag">Start!$B$22</definedName>
    <definedName name="Mi">'Static Data'!$A$23</definedName>
    <definedName name="Mittwoch">Start!$B$20</definedName>
    <definedName name="Mo">'Static Data'!$A$21</definedName>
    <definedName name="Montag">Start!$B$18</definedName>
    <definedName name="Sa">'Static Data'!$A$26</definedName>
    <definedName name="Samstag">Start!$B$23</definedName>
    <definedName name="So">'Static Data'!$A$27</definedName>
    <definedName name="Sonntag">Start!$B$24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63" l="1"/>
  <c r="M10" i="58"/>
  <c r="M15" i="58"/>
  <c r="M10" i="62"/>
  <c r="M10" i="63"/>
  <c r="M18" i="63"/>
  <c r="M29" i="63"/>
  <c r="M24" i="66"/>
  <c r="M35" i="68"/>
  <c r="M10" i="69"/>
  <c r="M17" i="70"/>
  <c r="M34" i="70"/>
  <c r="M35" i="70"/>
  <c r="U4" i="61"/>
  <c r="M76" i="80"/>
  <c r="M75" i="80"/>
  <c r="M73" i="80"/>
  <c r="A2" i="60"/>
  <c r="A2" i="61"/>
  <c r="A2" i="62"/>
  <c r="A2" i="63"/>
  <c r="A2" i="64"/>
  <c r="A2" i="65"/>
  <c r="A2" i="66"/>
  <c r="A2" i="67"/>
  <c r="A2" i="68"/>
  <c r="A2" i="69"/>
  <c r="A2" i="70"/>
  <c r="A2" i="58"/>
  <c r="K43" i="58"/>
  <c r="K43" i="60"/>
  <c r="K43" i="61"/>
  <c r="K43" i="62"/>
  <c r="K43" i="63"/>
  <c r="K43" i="64"/>
  <c r="K43" i="65"/>
  <c r="K43" i="66"/>
  <c r="K43" i="67"/>
  <c r="K43" i="68"/>
  <c r="K43" i="69"/>
  <c r="K43" i="70"/>
  <c r="L42" i="69"/>
  <c r="K42" i="69" s="1"/>
  <c r="K44" i="60"/>
  <c r="K44" i="61"/>
  <c r="K44" i="62"/>
  <c r="K44" i="63"/>
  <c r="K44" i="64"/>
  <c r="K44" i="65"/>
  <c r="K44" i="66"/>
  <c r="K44" i="67"/>
  <c r="K44" i="68"/>
  <c r="K44" i="69"/>
  <c r="K44" i="70"/>
  <c r="K44" i="58"/>
  <c r="L44" i="69" l="1"/>
  <c r="L45" i="69" s="1"/>
  <c r="L74" i="80"/>
  <c r="L66" i="80"/>
  <c r="A1" i="58" l="1"/>
  <c r="A1" i="60"/>
  <c r="A1" i="61"/>
  <c r="A1" i="62"/>
  <c r="A1" i="63"/>
  <c r="A1" i="64"/>
  <c r="A1" i="65"/>
  <c r="A1" i="66"/>
  <c r="A1" i="67"/>
  <c r="A1" i="68"/>
  <c r="A1" i="69"/>
  <c r="A1" i="70"/>
  <c r="A21" i="81"/>
  <c r="C21" i="81"/>
  <c r="A22" i="81"/>
  <c r="C22" i="81"/>
  <c r="A23" i="81"/>
  <c r="C23" i="81"/>
  <c r="A24" i="81"/>
  <c r="C24" i="81"/>
  <c r="A25" i="81"/>
  <c r="C25" i="81"/>
  <c r="A26" i="81"/>
  <c r="C26" i="81"/>
  <c r="A27" i="81"/>
  <c r="C27" i="81"/>
  <c r="M37" i="58" l="1"/>
  <c r="M11" i="58"/>
  <c r="M17" i="58"/>
  <c r="M23" i="58"/>
  <c r="M29" i="58"/>
  <c r="M35" i="58"/>
  <c r="M27" i="58"/>
  <c r="M16" i="58"/>
  <c r="M28" i="58"/>
  <c r="M36" i="58"/>
  <c r="M38" i="58"/>
  <c r="M12" i="58"/>
  <c r="M18" i="58"/>
  <c r="M24" i="58"/>
  <c r="M30" i="58"/>
  <c r="M22" i="58"/>
  <c r="M39" i="58"/>
  <c r="M13" i="58"/>
  <c r="M19" i="58"/>
  <c r="M25" i="58"/>
  <c r="M31" i="58"/>
  <c r="M40" i="58"/>
  <c r="M14" i="58"/>
  <c r="M20" i="58"/>
  <c r="M26" i="58"/>
  <c r="M32" i="58"/>
  <c r="M21" i="58"/>
  <c r="M33" i="58"/>
  <c r="M34" i="58"/>
  <c r="I12" i="58"/>
  <c r="B29" i="59"/>
  <c r="B40" i="59"/>
  <c r="T5" i="58" l="1"/>
  <c r="I16" i="58" l="1"/>
  <c r="I17" i="58"/>
  <c r="I23" i="58"/>
  <c r="I24" i="58"/>
  <c r="I30" i="58"/>
  <c r="I31" i="58"/>
  <c r="I37" i="58"/>
  <c r="I38" i="58"/>
  <c r="I13" i="58"/>
  <c r="I14" i="58"/>
  <c r="I15" i="58"/>
  <c r="I18" i="58"/>
  <c r="I19" i="58"/>
  <c r="I20" i="58"/>
  <c r="I21" i="58"/>
  <c r="I22" i="58"/>
  <c r="I25" i="58"/>
  <c r="I26" i="58"/>
  <c r="I27" i="58"/>
  <c r="I28" i="58"/>
  <c r="I29" i="58"/>
  <c r="I32" i="58"/>
  <c r="I33" i="58"/>
  <c r="I34" i="58"/>
  <c r="I35" i="58"/>
  <c r="I36" i="58"/>
  <c r="I39" i="58"/>
  <c r="I40" i="58"/>
  <c r="I11" i="58"/>
  <c r="I10" i="58"/>
  <c r="H2" i="60"/>
  <c r="H2" i="61"/>
  <c r="H2" i="62"/>
  <c r="H2" i="63"/>
  <c r="H2" i="64"/>
  <c r="H2" i="65"/>
  <c r="H2" i="66"/>
  <c r="H2" i="67"/>
  <c r="H2" i="68"/>
  <c r="H2" i="69"/>
  <c r="H2" i="70"/>
  <c r="H2" i="58"/>
  <c r="L10" i="58" l="1"/>
  <c r="L16" i="58"/>
  <c r="I43" i="58"/>
  <c r="H3" i="66"/>
  <c r="H3" i="68"/>
  <c r="H3" i="70"/>
  <c r="H3" i="67"/>
  <c r="H3" i="60"/>
  <c r="H3" i="69"/>
  <c r="H3" i="58"/>
  <c r="H3" i="65"/>
  <c r="H3" i="64"/>
  <c r="H3" i="63"/>
  <c r="H3" i="62"/>
  <c r="H3" i="61"/>
  <c r="A10" i="70" l="1"/>
  <c r="M10" i="70" s="1"/>
  <c r="L10" i="70" l="1"/>
  <c r="A10" i="62"/>
  <c r="I40" i="63" l="1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40" i="61"/>
  <c r="I39" i="61"/>
  <c r="I38" i="61"/>
  <c r="I37" i="61"/>
  <c r="I36" i="61"/>
  <c r="I35" i="61"/>
  <c r="I34" i="61"/>
  <c r="I33" i="61"/>
  <c r="I32" i="61"/>
  <c r="I31" i="61"/>
  <c r="I30" i="61"/>
  <c r="I29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7" i="60"/>
  <c r="I16" i="60"/>
  <c r="I15" i="60"/>
  <c r="I14" i="60"/>
  <c r="I13" i="60"/>
  <c r="I12" i="60"/>
  <c r="I11" i="60"/>
  <c r="I10" i="60"/>
  <c r="I43" i="62" l="1"/>
  <c r="I43" i="61"/>
  <c r="I43" i="60"/>
  <c r="I11" i="70"/>
  <c r="I12" i="70"/>
  <c r="I13" i="70"/>
  <c r="I14" i="70"/>
  <c r="I15" i="70"/>
  <c r="I16" i="70"/>
  <c r="I10" i="63" l="1"/>
  <c r="I43" i="63" l="1"/>
  <c r="P3" i="64"/>
  <c r="J75" i="80" l="1"/>
  <c r="J77" i="80" s="1"/>
  <c r="L75" i="80" s="1"/>
  <c r="L73" i="80" l="1"/>
  <c r="L76" i="80"/>
  <c r="J67" i="80"/>
  <c r="J69" i="80" s="1"/>
  <c r="M77" i="80" l="1"/>
  <c r="M65" i="80"/>
  <c r="D4" i="78"/>
  <c r="D3" i="78"/>
  <c r="M67" i="80" l="1"/>
  <c r="L65" i="80"/>
  <c r="M68" i="80" l="1"/>
  <c r="L67" i="80"/>
  <c r="L68" i="80" l="1"/>
  <c r="M69" i="80"/>
  <c r="J4" i="75" l="1"/>
  <c r="J5" i="75" s="1"/>
  <c r="J6" i="75" s="1"/>
  <c r="J7" i="75" s="1"/>
  <c r="J8" i="75" s="1"/>
  <c r="J9" i="75" s="1"/>
  <c r="J10" i="75" s="1"/>
  <c r="J11" i="75" s="1"/>
  <c r="J12" i="75" s="1"/>
  <c r="J13" i="75" s="1"/>
  <c r="J14" i="75" s="1"/>
  <c r="J15" i="75" s="1"/>
  <c r="J16" i="75" s="1"/>
  <c r="J17" i="75" s="1"/>
  <c r="J18" i="75" s="1"/>
  <c r="J19" i="75" s="1"/>
  <c r="J20" i="75" s="1"/>
  <c r="J21" i="75" s="1"/>
  <c r="J22" i="75" s="1"/>
  <c r="J23" i="75" s="1"/>
  <c r="J24" i="75" s="1"/>
  <c r="J25" i="75" s="1"/>
  <c r="J26" i="75" s="1"/>
  <c r="J27" i="75" s="1"/>
  <c r="J28" i="75" s="1"/>
  <c r="J29" i="75" s="1"/>
  <c r="J30" i="75" s="1"/>
  <c r="J31" i="75" s="1"/>
  <c r="J32" i="75" s="1"/>
  <c r="J33" i="75" s="1"/>
  <c r="A10" i="61" l="1"/>
  <c r="M10" i="61" s="1"/>
  <c r="A10" i="63"/>
  <c r="A10" i="64"/>
  <c r="M10" i="64" s="1"/>
  <c r="A10" i="65"/>
  <c r="M10" i="65" s="1"/>
  <c r="A10" i="66"/>
  <c r="M10" i="66" s="1"/>
  <c r="A10" i="67"/>
  <c r="M10" i="67" s="1"/>
  <c r="A10" i="68"/>
  <c r="M10" i="68" s="1"/>
  <c r="A10" i="69"/>
  <c r="A10" i="60"/>
  <c r="M10" i="60" s="1"/>
  <c r="L10" i="69" l="1"/>
  <c r="L10" i="67"/>
  <c r="L10" i="63"/>
  <c r="L10" i="65"/>
  <c r="L10" i="61"/>
  <c r="L10" i="60"/>
  <c r="L10" i="64"/>
  <c r="B3" i="58"/>
  <c r="B3" i="60"/>
  <c r="B3" i="61"/>
  <c r="B3" i="63"/>
  <c r="B3" i="64"/>
  <c r="B3" i="65"/>
  <c r="B3" i="66"/>
  <c r="B3" i="67"/>
  <c r="B3" i="68"/>
  <c r="B3" i="69"/>
  <c r="B3" i="70"/>
  <c r="D8" i="78" l="1"/>
  <c r="D7" i="78"/>
  <c r="B6" i="78"/>
  <c r="A6" i="78"/>
  <c r="L4" i="78"/>
  <c r="L3" i="78"/>
  <c r="R52" i="58" l="1"/>
  <c r="B3" i="75" l="1"/>
  <c r="E6" i="78" l="1"/>
  <c r="I16" i="78" l="1"/>
  <c r="B28" i="75"/>
  <c r="B27" i="75"/>
  <c r="B26" i="75"/>
  <c r="B25" i="75"/>
  <c r="B24" i="75"/>
  <c r="B23" i="75"/>
  <c r="B22" i="75"/>
  <c r="B21" i="75"/>
  <c r="B20" i="75"/>
  <c r="B19" i="75"/>
  <c r="B18" i="75"/>
  <c r="B12" i="75"/>
  <c r="B10" i="75"/>
  <c r="B16" i="75" s="1"/>
  <c r="B6" i="75"/>
  <c r="B4" i="75"/>
  <c r="B7" i="75" l="1"/>
  <c r="B5" i="75"/>
  <c r="B9" i="75"/>
  <c r="B13" i="75"/>
  <c r="B17" i="75"/>
  <c r="B14" i="75"/>
  <c r="B11" i="75"/>
  <c r="B15" i="75"/>
  <c r="B8" i="75"/>
  <c r="C32" i="59" l="1"/>
  <c r="L3" i="70" l="1"/>
  <c r="L3" i="69"/>
  <c r="L3" i="68"/>
  <c r="L3" i="67"/>
  <c r="L3" i="66"/>
  <c r="L3" i="65"/>
  <c r="L3" i="64"/>
  <c r="L3" i="63"/>
  <c r="L3" i="62"/>
  <c r="L3" i="61"/>
  <c r="L3" i="60"/>
  <c r="L2" i="70"/>
  <c r="L5" i="70" s="1"/>
  <c r="L2" i="69"/>
  <c r="L5" i="69" s="1"/>
  <c r="L2" i="68"/>
  <c r="L5" i="68" s="1"/>
  <c r="L2" i="67"/>
  <c r="L5" i="67" s="1"/>
  <c r="L2" i="66"/>
  <c r="L5" i="66" s="1"/>
  <c r="L2" i="65"/>
  <c r="L5" i="65" s="1"/>
  <c r="L2" i="64"/>
  <c r="L5" i="64" s="1"/>
  <c r="L2" i="63"/>
  <c r="L5" i="63" s="1"/>
  <c r="L2" i="62"/>
  <c r="L5" i="62" s="1"/>
  <c r="L2" i="61"/>
  <c r="L5" i="61" s="1"/>
  <c r="L2" i="60"/>
  <c r="L5" i="60" s="1"/>
  <c r="B5" i="70"/>
  <c r="B5" i="69"/>
  <c r="B5" i="68"/>
  <c r="B5" i="67"/>
  <c r="B5" i="66"/>
  <c r="B5" i="65"/>
  <c r="B5" i="64"/>
  <c r="B5" i="63"/>
  <c r="B5" i="62"/>
  <c r="B5" i="61"/>
  <c r="B5" i="60"/>
  <c r="B4" i="70"/>
  <c r="B4" i="69"/>
  <c r="B4" i="68"/>
  <c r="B4" i="67"/>
  <c r="B4" i="66"/>
  <c r="B4" i="65"/>
  <c r="B4" i="64"/>
  <c r="B4" i="63"/>
  <c r="B4" i="62"/>
  <c r="B4" i="61"/>
  <c r="B4" i="60"/>
  <c r="E5" i="70"/>
  <c r="E5" i="69"/>
  <c r="E5" i="68"/>
  <c r="E5" i="67"/>
  <c r="E5" i="66"/>
  <c r="E5" i="65"/>
  <c r="E5" i="64"/>
  <c r="E5" i="63"/>
  <c r="E5" i="62"/>
  <c r="E5" i="61"/>
  <c r="E5" i="60"/>
  <c r="L4" i="58"/>
  <c r="E5" i="58"/>
  <c r="B5" i="58"/>
  <c r="B4" i="58"/>
  <c r="L3" i="58"/>
  <c r="L2" i="58"/>
  <c r="L5" i="58" l="1"/>
  <c r="I40" i="70"/>
  <c r="I39" i="70"/>
  <c r="I38" i="70"/>
  <c r="I37" i="70"/>
  <c r="I36" i="70"/>
  <c r="I35" i="70"/>
  <c r="I34" i="70"/>
  <c r="I33" i="70"/>
  <c r="I32" i="70"/>
  <c r="I31" i="70"/>
  <c r="I30" i="70"/>
  <c r="I29" i="70"/>
  <c r="I28" i="70"/>
  <c r="I27" i="70"/>
  <c r="I26" i="70"/>
  <c r="I25" i="70"/>
  <c r="I24" i="70"/>
  <c r="I23" i="70"/>
  <c r="I22" i="70"/>
  <c r="I21" i="70"/>
  <c r="I20" i="70"/>
  <c r="I19" i="70"/>
  <c r="I18" i="70"/>
  <c r="I17" i="70"/>
  <c r="I10" i="70"/>
  <c r="I40" i="69"/>
  <c r="I39" i="69"/>
  <c r="O39" i="69" s="1"/>
  <c r="I38" i="69"/>
  <c r="O38" i="69" s="1"/>
  <c r="I37" i="69"/>
  <c r="I36" i="69"/>
  <c r="O36" i="69" s="1"/>
  <c r="I35" i="69"/>
  <c r="O35" i="69" s="1"/>
  <c r="I34" i="69"/>
  <c r="O34" i="69" s="1"/>
  <c r="I33" i="69"/>
  <c r="O33" i="69" s="1"/>
  <c r="I32" i="69"/>
  <c r="O32" i="69" s="1"/>
  <c r="I31" i="69"/>
  <c r="O31" i="69" s="1"/>
  <c r="I30" i="69"/>
  <c r="I29" i="69"/>
  <c r="O29" i="69" s="1"/>
  <c r="I28" i="69"/>
  <c r="O28" i="69" s="1"/>
  <c r="I27" i="69"/>
  <c r="O27" i="69" s="1"/>
  <c r="I26" i="69"/>
  <c r="O26" i="69" s="1"/>
  <c r="I25" i="69"/>
  <c r="O25" i="69" s="1"/>
  <c r="I24" i="69"/>
  <c r="O24" i="69" s="1"/>
  <c r="I23" i="69"/>
  <c r="I22" i="69"/>
  <c r="O22" i="69" s="1"/>
  <c r="I21" i="69"/>
  <c r="O21" i="69" s="1"/>
  <c r="I20" i="69"/>
  <c r="O20" i="69" s="1"/>
  <c r="I19" i="69"/>
  <c r="O19" i="69" s="1"/>
  <c r="I18" i="69"/>
  <c r="O18" i="69" s="1"/>
  <c r="I17" i="69"/>
  <c r="O17" i="69" s="1"/>
  <c r="I16" i="69"/>
  <c r="I15" i="69"/>
  <c r="O15" i="69" s="1"/>
  <c r="I14" i="69"/>
  <c r="O14" i="69" s="1"/>
  <c r="I13" i="69"/>
  <c r="O13" i="69" s="1"/>
  <c r="I12" i="69"/>
  <c r="O12" i="69" s="1"/>
  <c r="I11" i="69"/>
  <c r="I10" i="69"/>
  <c r="I40" i="68"/>
  <c r="I39" i="68"/>
  <c r="I38" i="68"/>
  <c r="I37" i="68"/>
  <c r="I36" i="68"/>
  <c r="I35" i="68"/>
  <c r="I34" i="68"/>
  <c r="I33" i="68"/>
  <c r="I32" i="68"/>
  <c r="I31" i="68"/>
  <c r="I30" i="68"/>
  <c r="I29" i="68"/>
  <c r="I28" i="68"/>
  <c r="I27" i="68"/>
  <c r="I26" i="68"/>
  <c r="I25" i="68"/>
  <c r="I24" i="68"/>
  <c r="I23" i="68"/>
  <c r="I22" i="68"/>
  <c r="I21" i="68"/>
  <c r="I20" i="68"/>
  <c r="I19" i="68"/>
  <c r="I18" i="68"/>
  <c r="I17" i="68"/>
  <c r="I16" i="68"/>
  <c r="I15" i="68"/>
  <c r="I14" i="68"/>
  <c r="I13" i="68"/>
  <c r="I12" i="68"/>
  <c r="I11" i="68"/>
  <c r="I10" i="68"/>
  <c r="L10" i="68" s="1"/>
  <c r="I40" i="67"/>
  <c r="I39" i="67"/>
  <c r="I38" i="67"/>
  <c r="I37" i="67"/>
  <c r="I36" i="67"/>
  <c r="I35" i="67"/>
  <c r="I34" i="67"/>
  <c r="I33" i="67"/>
  <c r="I32" i="67"/>
  <c r="I31" i="67"/>
  <c r="I30" i="67"/>
  <c r="I29" i="67"/>
  <c r="I28" i="67"/>
  <c r="I27" i="67"/>
  <c r="I26" i="67"/>
  <c r="I25" i="67"/>
  <c r="I24" i="67"/>
  <c r="I23" i="67"/>
  <c r="I22" i="67"/>
  <c r="I21" i="67"/>
  <c r="I20" i="67"/>
  <c r="I19" i="67"/>
  <c r="I18" i="67"/>
  <c r="I17" i="67"/>
  <c r="I16" i="67"/>
  <c r="I15" i="67"/>
  <c r="I14" i="67"/>
  <c r="I13" i="67"/>
  <c r="I12" i="67"/>
  <c r="I11" i="67"/>
  <c r="I10" i="67"/>
  <c r="I40" i="66"/>
  <c r="I39" i="66"/>
  <c r="I38" i="66"/>
  <c r="I37" i="66"/>
  <c r="I36" i="66"/>
  <c r="I35" i="66"/>
  <c r="I34" i="66"/>
  <c r="I33" i="66"/>
  <c r="I32" i="66"/>
  <c r="I31" i="66"/>
  <c r="I30" i="66"/>
  <c r="I29" i="66"/>
  <c r="I28" i="66"/>
  <c r="I27" i="66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2" i="66"/>
  <c r="I11" i="66"/>
  <c r="I10" i="66"/>
  <c r="I40" i="65"/>
  <c r="I39" i="65"/>
  <c r="I38" i="65"/>
  <c r="I37" i="65"/>
  <c r="I36" i="65"/>
  <c r="I35" i="65"/>
  <c r="I34" i="65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O26" i="60"/>
  <c r="I47" i="59"/>
  <c r="I43" i="65" l="1"/>
  <c r="I43" i="64"/>
  <c r="I43" i="66"/>
  <c r="I43" i="67"/>
  <c r="I43" i="68"/>
  <c r="I43" i="70"/>
  <c r="O11" i="69"/>
  <c r="O40" i="69"/>
  <c r="I43" i="69"/>
  <c r="O10" i="69"/>
  <c r="P10" i="69" s="1"/>
  <c r="O30" i="69"/>
  <c r="O23" i="69"/>
  <c r="O16" i="69"/>
  <c r="O37" i="69"/>
  <c r="O13" i="70"/>
  <c r="O17" i="70"/>
  <c r="P17" i="70" s="1"/>
  <c r="O21" i="70"/>
  <c r="O25" i="70"/>
  <c r="O29" i="70"/>
  <c r="O33" i="70"/>
  <c r="O37" i="70"/>
  <c r="O10" i="70"/>
  <c r="P10" i="70" s="1"/>
  <c r="O14" i="70"/>
  <c r="O18" i="70"/>
  <c r="O22" i="70"/>
  <c r="O26" i="70"/>
  <c r="O30" i="70"/>
  <c r="O34" i="70"/>
  <c r="P34" i="70" s="1"/>
  <c r="O38" i="70"/>
  <c r="O11" i="70"/>
  <c r="O15" i="70"/>
  <c r="O19" i="70"/>
  <c r="O23" i="70"/>
  <c r="O27" i="70"/>
  <c r="O31" i="70"/>
  <c r="O35" i="70"/>
  <c r="P35" i="70" s="1"/>
  <c r="O39" i="70"/>
  <c r="O12" i="70"/>
  <c r="O16" i="70"/>
  <c r="O20" i="70"/>
  <c r="O24" i="70"/>
  <c r="O28" i="70"/>
  <c r="O32" i="70"/>
  <c r="O36" i="70"/>
  <c r="O40" i="70"/>
  <c r="O11" i="68"/>
  <c r="O15" i="68"/>
  <c r="O19" i="68"/>
  <c r="O23" i="68"/>
  <c r="O27" i="68"/>
  <c r="O31" i="68"/>
  <c r="O35" i="68"/>
  <c r="P35" i="68" s="1"/>
  <c r="O39" i="68"/>
  <c r="O12" i="68"/>
  <c r="O16" i="68"/>
  <c r="O20" i="68"/>
  <c r="O24" i="68"/>
  <c r="O28" i="68"/>
  <c r="O32" i="68"/>
  <c r="O36" i="68"/>
  <c r="O40" i="68"/>
  <c r="O13" i="68"/>
  <c r="O17" i="68"/>
  <c r="O21" i="68"/>
  <c r="O25" i="68"/>
  <c r="O29" i="68"/>
  <c r="O33" i="68"/>
  <c r="O37" i="68"/>
  <c r="O10" i="68"/>
  <c r="P10" i="68" s="1"/>
  <c r="O14" i="68"/>
  <c r="O18" i="68"/>
  <c r="O22" i="68"/>
  <c r="O26" i="68"/>
  <c r="O30" i="68"/>
  <c r="O34" i="68"/>
  <c r="O38" i="68"/>
  <c r="O10" i="67"/>
  <c r="P10" i="67" s="1"/>
  <c r="O14" i="67"/>
  <c r="O18" i="67"/>
  <c r="O22" i="67"/>
  <c r="O26" i="67"/>
  <c r="O30" i="67"/>
  <c r="O34" i="67"/>
  <c r="O38" i="67"/>
  <c r="O11" i="67"/>
  <c r="O15" i="67"/>
  <c r="O19" i="67"/>
  <c r="O23" i="67"/>
  <c r="O27" i="67"/>
  <c r="O31" i="67"/>
  <c r="O35" i="67"/>
  <c r="O39" i="67"/>
  <c r="O16" i="67"/>
  <c r="O28" i="67"/>
  <c r="O32" i="67"/>
  <c r="O40" i="67"/>
  <c r="O12" i="67"/>
  <c r="O20" i="67"/>
  <c r="O24" i="67"/>
  <c r="O36" i="67"/>
  <c r="O13" i="67"/>
  <c r="O17" i="67"/>
  <c r="O21" i="67"/>
  <c r="O25" i="67"/>
  <c r="O29" i="67"/>
  <c r="O33" i="67"/>
  <c r="O37" i="67"/>
  <c r="O11" i="66"/>
  <c r="O15" i="66"/>
  <c r="O27" i="66"/>
  <c r="O13" i="66"/>
  <c r="O17" i="66"/>
  <c r="O21" i="66"/>
  <c r="O25" i="66"/>
  <c r="O29" i="66"/>
  <c r="O33" i="66"/>
  <c r="O37" i="66"/>
  <c r="O10" i="66"/>
  <c r="P10" i="66" s="1"/>
  <c r="O14" i="66"/>
  <c r="O18" i="66"/>
  <c r="O22" i="66"/>
  <c r="O26" i="66"/>
  <c r="O30" i="66"/>
  <c r="O34" i="66"/>
  <c r="O38" i="66"/>
  <c r="O23" i="66"/>
  <c r="O35" i="66"/>
  <c r="O39" i="66"/>
  <c r="O19" i="66"/>
  <c r="O31" i="66"/>
  <c r="O12" i="66"/>
  <c r="O16" i="66"/>
  <c r="O20" i="66"/>
  <c r="O24" i="66"/>
  <c r="P24" i="66" s="1"/>
  <c r="O28" i="66"/>
  <c r="O32" i="66"/>
  <c r="O36" i="66"/>
  <c r="O40" i="66"/>
  <c r="O24" i="65"/>
  <c r="O36" i="65"/>
  <c r="O13" i="65"/>
  <c r="O17" i="65"/>
  <c r="O21" i="65"/>
  <c r="O25" i="65"/>
  <c r="O29" i="65"/>
  <c r="O33" i="65"/>
  <c r="O37" i="65"/>
  <c r="O16" i="65"/>
  <c r="O28" i="65"/>
  <c r="O40" i="65"/>
  <c r="O10" i="65"/>
  <c r="P10" i="65" s="1"/>
  <c r="O14" i="65"/>
  <c r="O18" i="65"/>
  <c r="O22" i="65"/>
  <c r="O26" i="65"/>
  <c r="O30" i="65"/>
  <c r="O34" i="65"/>
  <c r="O38" i="65"/>
  <c r="O12" i="65"/>
  <c r="O20" i="65"/>
  <c r="O32" i="65"/>
  <c r="O11" i="65"/>
  <c r="O15" i="65"/>
  <c r="O19" i="65"/>
  <c r="O23" i="65"/>
  <c r="O27" i="65"/>
  <c r="O31" i="65"/>
  <c r="O35" i="65"/>
  <c r="O39" i="65"/>
  <c r="O11" i="64"/>
  <c r="O15" i="64"/>
  <c r="O19" i="64"/>
  <c r="O23" i="64"/>
  <c r="O27" i="64"/>
  <c r="O31" i="64"/>
  <c r="O35" i="64"/>
  <c r="O39" i="64"/>
  <c r="O12" i="64"/>
  <c r="O16" i="64"/>
  <c r="O20" i="64"/>
  <c r="O24" i="64"/>
  <c r="O28" i="64"/>
  <c r="O32" i="64"/>
  <c r="O36" i="64"/>
  <c r="O13" i="64"/>
  <c r="O17" i="64"/>
  <c r="O21" i="64"/>
  <c r="O25" i="64"/>
  <c r="O29" i="64"/>
  <c r="O33" i="64"/>
  <c r="O37" i="64"/>
  <c r="O10" i="64"/>
  <c r="P10" i="64" s="1"/>
  <c r="O14" i="64"/>
  <c r="O18" i="64"/>
  <c r="O22" i="64"/>
  <c r="O26" i="64"/>
  <c r="O30" i="64"/>
  <c r="O34" i="64"/>
  <c r="O38" i="64"/>
  <c r="O10" i="63"/>
  <c r="P10" i="63" s="1"/>
  <c r="O14" i="63"/>
  <c r="O18" i="63"/>
  <c r="O22" i="63"/>
  <c r="O26" i="63"/>
  <c r="O30" i="63"/>
  <c r="O34" i="63"/>
  <c r="O38" i="63"/>
  <c r="O19" i="63"/>
  <c r="O23" i="63"/>
  <c r="O27" i="63"/>
  <c r="O31" i="63"/>
  <c r="O35" i="63"/>
  <c r="O39" i="63"/>
  <c r="O15" i="63"/>
  <c r="O12" i="63"/>
  <c r="O16" i="63"/>
  <c r="O20" i="63"/>
  <c r="O24" i="63"/>
  <c r="O28" i="63"/>
  <c r="O32" i="63"/>
  <c r="O36" i="63"/>
  <c r="O40" i="63"/>
  <c r="O11" i="63"/>
  <c r="O13" i="63"/>
  <c r="O17" i="63"/>
  <c r="O21" i="63"/>
  <c r="O25" i="63"/>
  <c r="O29" i="63"/>
  <c r="O33" i="63"/>
  <c r="O37" i="63"/>
  <c r="O21" i="62"/>
  <c r="O37" i="62"/>
  <c r="O10" i="62"/>
  <c r="P10" i="62" s="1"/>
  <c r="O14" i="62"/>
  <c r="O18" i="62"/>
  <c r="O22" i="62"/>
  <c r="O26" i="62"/>
  <c r="O30" i="62"/>
  <c r="O34" i="62"/>
  <c r="O38" i="62"/>
  <c r="O17" i="62"/>
  <c r="O29" i="62"/>
  <c r="O11" i="62"/>
  <c r="O15" i="62"/>
  <c r="O19" i="62"/>
  <c r="O23" i="62"/>
  <c r="O27" i="62"/>
  <c r="O31" i="62"/>
  <c r="O35" i="62"/>
  <c r="O39" i="62"/>
  <c r="O13" i="62"/>
  <c r="O25" i="62"/>
  <c r="O33" i="62"/>
  <c r="O12" i="62"/>
  <c r="O16" i="62"/>
  <c r="O20" i="62"/>
  <c r="O24" i="62"/>
  <c r="O28" i="62"/>
  <c r="O32" i="62"/>
  <c r="O36" i="62"/>
  <c r="O16" i="61"/>
  <c r="O24" i="61"/>
  <c r="O32" i="61"/>
  <c r="O40" i="61"/>
  <c r="O13" i="61"/>
  <c r="O17" i="61"/>
  <c r="O21" i="61"/>
  <c r="O25" i="61"/>
  <c r="O29" i="61"/>
  <c r="O33" i="61"/>
  <c r="O37" i="61"/>
  <c r="O28" i="61"/>
  <c r="O14" i="61"/>
  <c r="O26" i="61"/>
  <c r="O34" i="61"/>
  <c r="O38" i="61"/>
  <c r="O12" i="61"/>
  <c r="O20" i="61"/>
  <c r="O36" i="61"/>
  <c r="O10" i="61"/>
  <c r="P10" i="61" s="1"/>
  <c r="O18" i="61"/>
  <c r="O22" i="61"/>
  <c r="O30" i="61"/>
  <c r="O11" i="61"/>
  <c r="O15" i="61"/>
  <c r="O19" i="61"/>
  <c r="O23" i="61"/>
  <c r="O27" i="61"/>
  <c r="O31" i="61"/>
  <c r="O35" i="61"/>
  <c r="O39" i="61"/>
  <c r="O12" i="60"/>
  <c r="O10" i="60"/>
  <c r="P10" i="60" s="1"/>
  <c r="O11" i="60"/>
  <c r="O15" i="60"/>
  <c r="O19" i="60"/>
  <c r="O23" i="60"/>
  <c r="O27" i="60"/>
  <c r="O31" i="60"/>
  <c r="O35" i="60"/>
  <c r="O16" i="60"/>
  <c r="O24" i="60"/>
  <c r="O28" i="60"/>
  <c r="O32" i="60"/>
  <c r="O36" i="60"/>
  <c r="O20" i="60"/>
  <c r="O13" i="60"/>
  <c r="O17" i="60"/>
  <c r="O21" i="60"/>
  <c r="O25" i="60"/>
  <c r="O29" i="60"/>
  <c r="O33" i="60"/>
  <c r="O37" i="60"/>
  <c r="O14" i="60"/>
  <c r="O18" i="60"/>
  <c r="O22" i="60"/>
  <c r="O30" i="60"/>
  <c r="O34" i="60"/>
  <c r="L6" i="70"/>
  <c r="L6" i="69"/>
  <c r="L6" i="68"/>
  <c r="L6" i="67"/>
  <c r="L6" i="66"/>
  <c r="L6" i="65"/>
  <c r="L6" i="64"/>
  <c r="L6" i="63"/>
  <c r="L6" i="62"/>
  <c r="L6" i="61"/>
  <c r="L6" i="60"/>
  <c r="L6" i="58"/>
  <c r="Q10" i="60" l="1"/>
  <c r="Q10" i="67"/>
  <c r="R10" i="67" s="1"/>
  <c r="Q10" i="66"/>
  <c r="R10" i="66" s="1"/>
  <c r="Q10" i="70"/>
  <c r="R10" i="70" s="1"/>
  <c r="Q10" i="69"/>
  <c r="R10" i="69" s="1"/>
  <c r="Q10" i="68"/>
  <c r="Q10" i="65"/>
  <c r="Q10" i="64"/>
  <c r="Q10" i="63"/>
  <c r="Q10" i="61"/>
  <c r="L7" i="78"/>
  <c r="A11" i="70" l="1"/>
  <c r="M11" i="70" s="1"/>
  <c r="A11" i="69"/>
  <c r="M11" i="69" s="1"/>
  <c r="A11" i="68"/>
  <c r="M11" i="68" s="1"/>
  <c r="A11" i="67"/>
  <c r="M11" i="67" s="1"/>
  <c r="A11" i="66"/>
  <c r="M11" i="66" s="1"/>
  <c r="A11" i="65"/>
  <c r="M11" i="65" s="1"/>
  <c r="A11" i="64"/>
  <c r="M11" i="64" s="1"/>
  <c r="A11" i="63"/>
  <c r="M11" i="63" s="1"/>
  <c r="A11" i="61"/>
  <c r="M11" i="61" s="1"/>
  <c r="A11" i="60"/>
  <c r="M11" i="60" s="1"/>
  <c r="A11" i="58"/>
  <c r="P11" i="60" l="1"/>
  <c r="L11" i="60"/>
  <c r="P11" i="64"/>
  <c r="L11" i="64"/>
  <c r="P11" i="67"/>
  <c r="L11" i="67"/>
  <c r="P11" i="61"/>
  <c r="P11" i="66"/>
  <c r="P11" i="68"/>
  <c r="P11" i="69"/>
  <c r="P11" i="70"/>
  <c r="L11" i="65"/>
  <c r="L11" i="63"/>
  <c r="L11" i="66"/>
  <c r="L11" i="61"/>
  <c r="L11" i="69"/>
  <c r="A12" i="58"/>
  <c r="A12" i="70"/>
  <c r="M12" i="70" s="1"/>
  <c r="A12" i="69"/>
  <c r="M12" i="69" s="1"/>
  <c r="A12" i="68"/>
  <c r="M12" i="68" s="1"/>
  <c r="A12" i="67"/>
  <c r="M12" i="67" s="1"/>
  <c r="A12" i="66"/>
  <c r="M12" i="66" s="1"/>
  <c r="A12" i="65"/>
  <c r="M12" i="65" s="1"/>
  <c r="A12" i="64"/>
  <c r="M12" i="64" s="1"/>
  <c r="A12" i="63"/>
  <c r="M12" i="63" s="1"/>
  <c r="A12" i="61"/>
  <c r="M12" i="61" s="1"/>
  <c r="A12" i="60"/>
  <c r="M12" i="60" s="1"/>
  <c r="L12" i="67" l="1"/>
  <c r="P12" i="67"/>
  <c r="P12" i="60"/>
  <c r="L12" i="60"/>
  <c r="P12" i="69"/>
  <c r="P12" i="68"/>
  <c r="P12" i="66"/>
  <c r="P12" i="64"/>
  <c r="P12" i="63"/>
  <c r="P12" i="61"/>
  <c r="P11" i="63"/>
  <c r="Q11" i="63" s="1"/>
  <c r="P11" i="65"/>
  <c r="Q11" i="65" s="1"/>
  <c r="R11" i="65" s="1"/>
  <c r="L12" i="65"/>
  <c r="P12" i="65"/>
  <c r="L12" i="70"/>
  <c r="Q11" i="69"/>
  <c r="Q11" i="68"/>
  <c r="Q11" i="60"/>
  <c r="Q11" i="67"/>
  <c r="Q11" i="66"/>
  <c r="R11" i="66" s="1"/>
  <c r="Q11" i="70"/>
  <c r="R11" i="70" s="1"/>
  <c r="Q11" i="61"/>
  <c r="Q11" i="64"/>
  <c r="L12" i="58"/>
  <c r="L12" i="63"/>
  <c r="L12" i="69"/>
  <c r="L12" i="66"/>
  <c r="L12" i="64"/>
  <c r="L12" i="61"/>
  <c r="A13" i="58"/>
  <c r="A13" i="70"/>
  <c r="M13" i="70" s="1"/>
  <c r="A13" i="69"/>
  <c r="M13" i="69" s="1"/>
  <c r="A13" i="68"/>
  <c r="M13" i="68" s="1"/>
  <c r="A13" i="67"/>
  <c r="M13" i="67" s="1"/>
  <c r="A13" i="66"/>
  <c r="M13" i="66" s="1"/>
  <c r="A13" i="65"/>
  <c r="M13" i="65" s="1"/>
  <c r="A13" i="64"/>
  <c r="M13" i="64" s="1"/>
  <c r="A13" i="63"/>
  <c r="M13" i="63" s="1"/>
  <c r="A13" i="61"/>
  <c r="M13" i="61" s="1"/>
  <c r="A13" i="60"/>
  <c r="M13" i="60" s="1"/>
  <c r="O10" i="58"/>
  <c r="P10" i="58" s="1"/>
  <c r="H5" i="70"/>
  <c r="H5" i="69"/>
  <c r="H5" i="68"/>
  <c r="H5" i="67"/>
  <c r="H5" i="66"/>
  <c r="H5" i="65"/>
  <c r="H5" i="64"/>
  <c r="H5" i="63"/>
  <c r="H5" i="62"/>
  <c r="H5" i="61"/>
  <c r="H5" i="60"/>
  <c r="H5" i="58"/>
  <c r="P13" i="60" l="1"/>
  <c r="L13" i="60"/>
  <c r="P13" i="69"/>
  <c r="P13" i="68"/>
  <c r="P13" i="67"/>
  <c r="P13" i="66"/>
  <c r="P13" i="64"/>
  <c r="P13" i="63"/>
  <c r="P13" i="61"/>
  <c r="P12" i="70"/>
  <c r="Q12" i="70" s="1"/>
  <c r="L13" i="70"/>
  <c r="P13" i="70"/>
  <c r="L13" i="65"/>
  <c r="P13" i="65"/>
  <c r="Q12" i="69"/>
  <c r="R12" i="69" s="1"/>
  <c r="Q12" i="60"/>
  <c r="Q12" i="64"/>
  <c r="Q12" i="68"/>
  <c r="Q12" i="65"/>
  <c r="Q12" i="66"/>
  <c r="R12" i="66" s="1"/>
  <c r="Q12" i="63"/>
  <c r="Q12" i="67"/>
  <c r="Q12" i="61"/>
  <c r="L13" i="58"/>
  <c r="L13" i="68"/>
  <c r="L13" i="63"/>
  <c r="L13" i="69"/>
  <c r="L13" i="66"/>
  <c r="L13" i="64"/>
  <c r="L13" i="61"/>
  <c r="A14" i="58"/>
  <c r="A14" i="70"/>
  <c r="M14" i="70" s="1"/>
  <c r="A14" i="69"/>
  <c r="M14" i="69" s="1"/>
  <c r="A14" i="68"/>
  <c r="M14" i="68" s="1"/>
  <c r="A14" i="67"/>
  <c r="M14" i="67" s="1"/>
  <c r="A14" i="66"/>
  <c r="M14" i="66" s="1"/>
  <c r="A14" i="65"/>
  <c r="M14" i="65" s="1"/>
  <c r="A14" i="64"/>
  <c r="M14" i="64" s="1"/>
  <c r="A14" i="63"/>
  <c r="M14" i="63" s="1"/>
  <c r="A14" i="61"/>
  <c r="M14" i="61" s="1"/>
  <c r="A14" i="60"/>
  <c r="M14" i="60" s="1"/>
  <c r="H6" i="78"/>
  <c r="G5" i="70"/>
  <c r="G5" i="69"/>
  <c r="G5" i="68"/>
  <c r="G5" i="67"/>
  <c r="G5" i="66"/>
  <c r="G5" i="65"/>
  <c r="G5" i="64"/>
  <c r="G5" i="63"/>
  <c r="G5" i="62"/>
  <c r="G5" i="61"/>
  <c r="G5" i="60"/>
  <c r="L11" i="58"/>
  <c r="G5" i="58"/>
  <c r="I42" i="58" s="1"/>
  <c r="P14" i="60" l="1"/>
  <c r="L14" i="60"/>
  <c r="P14" i="69"/>
  <c r="P14" i="68"/>
  <c r="P14" i="67"/>
  <c r="P14" i="66"/>
  <c r="P14" i="65"/>
  <c r="P14" i="63"/>
  <c r="P14" i="61"/>
  <c r="S9" i="58"/>
  <c r="L14" i="70"/>
  <c r="P14" i="70"/>
  <c r="L14" i="64"/>
  <c r="P14" i="64"/>
  <c r="Q13" i="64"/>
  <c r="Q13" i="65"/>
  <c r="Q13" i="69"/>
  <c r="Q13" i="70"/>
  <c r="R13" i="70" s="1"/>
  <c r="Q13" i="60"/>
  <c r="Q13" i="63"/>
  <c r="Q13" i="61"/>
  <c r="Q13" i="68"/>
  <c r="Q13" i="67"/>
  <c r="Q13" i="66"/>
  <c r="R13" i="66" s="1"/>
  <c r="L14" i="58"/>
  <c r="L14" i="68"/>
  <c r="L14" i="65"/>
  <c r="L14" i="63"/>
  <c r="L14" i="69"/>
  <c r="L14" i="66"/>
  <c r="L14" i="61"/>
  <c r="A15" i="58"/>
  <c r="L15" i="58" s="1"/>
  <c r="A15" i="70"/>
  <c r="M15" i="70" s="1"/>
  <c r="A15" i="69"/>
  <c r="M15" i="69" s="1"/>
  <c r="A15" i="68"/>
  <c r="M15" i="68" s="1"/>
  <c r="A15" i="67"/>
  <c r="M15" i="67" s="1"/>
  <c r="A15" i="66"/>
  <c r="M15" i="66" s="1"/>
  <c r="A15" i="65"/>
  <c r="M15" i="65" s="1"/>
  <c r="A15" i="64"/>
  <c r="M15" i="64" s="1"/>
  <c r="A15" i="63"/>
  <c r="M15" i="63" s="1"/>
  <c r="A15" i="61"/>
  <c r="M15" i="61" s="1"/>
  <c r="A15" i="60"/>
  <c r="M15" i="60" s="1"/>
  <c r="G6" i="78"/>
  <c r="P15" i="60" l="1"/>
  <c r="L15" i="60"/>
  <c r="P15" i="69"/>
  <c r="P15" i="68"/>
  <c r="P15" i="67"/>
  <c r="P15" i="66"/>
  <c r="P15" i="65"/>
  <c r="P15" i="63"/>
  <c r="P15" i="61"/>
  <c r="L15" i="70"/>
  <c r="P15" i="70"/>
  <c r="L15" i="64"/>
  <c r="P15" i="64"/>
  <c r="Q14" i="64"/>
  <c r="R14" i="64" s="1"/>
  <c r="Q14" i="70"/>
  <c r="R14" i="70" s="1"/>
  <c r="Q14" i="65"/>
  <c r="Q14" i="60"/>
  <c r="Q14" i="63"/>
  <c r="Q14" i="68"/>
  <c r="R14" i="68" s="1"/>
  <c r="Q14" i="66"/>
  <c r="R14" i="66" s="1"/>
  <c r="Q14" i="67"/>
  <c r="Q14" i="69"/>
  <c r="R14" i="69" s="1"/>
  <c r="Q14" i="61"/>
  <c r="L15" i="69"/>
  <c r="L15" i="61"/>
  <c r="L15" i="67"/>
  <c r="L15" i="65"/>
  <c r="L15" i="68"/>
  <c r="L15" i="66"/>
  <c r="L15" i="63"/>
  <c r="A16" i="58"/>
  <c r="A16" i="70"/>
  <c r="M16" i="70" s="1"/>
  <c r="A16" i="69"/>
  <c r="M16" i="69" s="1"/>
  <c r="A16" i="68"/>
  <c r="M16" i="68" s="1"/>
  <c r="A16" i="67"/>
  <c r="M16" i="67" s="1"/>
  <c r="A16" i="66"/>
  <c r="M16" i="66" s="1"/>
  <c r="A16" i="65"/>
  <c r="M16" i="65" s="1"/>
  <c r="A16" i="64"/>
  <c r="M16" i="64" s="1"/>
  <c r="A16" i="63"/>
  <c r="M16" i="63" s="1"/>
  <c r="A16" i="61"/>
  <c r="M16" i="61" s="1"/>
  <c r="A16" i="60"/>
  <c r="M16" i="60" s="1"/>
  <c r="P16" i="60" l="1"/>
  <c r="L16" i="60"/>
  <c r="P16" i="69"/>
  <c r="P16" i="68"/>
  <c r="P16" i="67"/>
  <c r="P16" i="66"/>
  <c r="P16" i="65"/>
  <c r="P16" i="64"/>
  <c r="P16" i="63"/>
  <c r="P16" i="61"/>
  <c r="L16" i="70"/>
  <c r="P16" i="70"/>
  <c r="Q15" i="67"/>
  <c r="Q15" i="63"/>
  <c r="Q15" i="66"/>
  <c r="R15" i="66" s="1"/>
  <c r="Q15" i="70"/>
  <c r="R15" i="70" s="1"/>
  <c r="Q15" i="69"/>
  <c r="R15" i="69" s="1"/>
  <c r="Q15" i="60"/>
  <c r="Q15" i="68"/>
  <c r="R15" i="68" s="1"/>
  <c r="Q15" i="65"/>
  <c r="Q15" i="64"/>
  <c r="Q15" i="61"/>
  <c r="L16" i="66"/>
  <c r="L16" i="67"/>
  <c r="L16" i="61"/>
  <c r="A17" i="58"/>
  <c r="L16" i="69"/>
  <c r="L16" i="68"/>
  <c r="L16" i="65"/>
  <c r="L16" i="64"/>
  <c r="L16" i="63"/>
  <c r="A17" i="70"/>
  <c r="L17" i="70" s="1"/>
  <c r="A17" i="69"/>
  <c r="M17" i="69" s="1"/>
  <c r="A17" i="68"/>
  <c r="M17" i="68" s="1"/>
  <c r="A17" i="67"/>
  <c r="M17" i="67" s="1"/>
  <c r="A17" i="66"/>
  <c r="M17" i="66" s="1"/>
  <c r="A17" i="65"/>
  <c r="M17" i="65" s="1"/>
  <c r="A17" i="64"/>
  <c r="M17" i="64" s="1"/>
  <c r="A17" i="63"/>
  <c r="M17" i="63" s="1"/>
  <c r="A17" i="61"/>
  <c r="M17" i="61" s="1"/>
  <c r="A17" i="60"/>
  <c r="M17" i="60" s="1"/>
  <c r="P17" i="64" l="1"/>
  <c r="Q17" i="64" s="1"/>
  <c r="P17" i="60"/>
  <c r="L17" i="60"/>
  <c r="P17" i="69"/>
  <c r="P17" i="68"/>
  <c r="P17" i="67"/>
  <c r="P17" i="66"/>
  <c r="P17" i="65"/>
  <c r="P17" i="63"/>
  <c r="P17" i="61"/>
  <c r="Q16" i="61"/>
  <c r="Q16" i="69"/>
  <c r="R16" i="69" s="1"/>
  <c r="Q16" i="66"/>
  <c r="R16" i="66" s="1"/>
  <c r="Q16" i="67"/>
  <c r="R16" i="67" s="1"/>
  <c r="Q16" i="65"/>
  <c r="Q16" i="68"/>
  <c r="Q16" i="64"/>
  <c r="Q16" i="63"/>
  <c r="Q16" i="60"/>
  <c r="Q16" i="70"/>
  <c r="R16" i="70" s="1"/>
  <c r="A18" i="58"/>
  <c r="Q17" i="70"/>
  <c r="R17" i="70" s="1"/>
  <c r="L17" i="69"/>
  <c r="L17" i="68"/>
  <c r="L17" i="67"/>
  <c r="L17" i="66"/>
  <c r="L17" i="65"/>
  <c r="L17" i="64"/>
  <c r="Q10" i="58" s="1"/>
  <c r="L17" i="63"/>
  <c r="L17" i="61"/>
  <c r="A19" i="58"/>
  <c r="A18" i="70"/>
  <c r="M18" i="70" s="1"/>
  <c r="A18" i="69"/>
  <c r="M18" i="69" s="1"/>
  <c r="A18" i="68"/>
  <c r="M18" i="68" s="1"/>
  <c r="A18" i="67"/>
  <c r="M18" i="67" s="1"/>
  <c r="A18" i="66"/>
  <c r="M18" i="66" s="1"/>
  <c r="A18" i="65"/>
  <c r="M18" i="65" s="1"/>
  <c r="A18" i="64"/>
  <c r="M18" i="64" s="1"/>
  <c r="A18" i="63"/>
  <c r="A18" i="61"/>
  <c r="M18" i="61" s="1"/>
  <c r="A18" i="60"/>
  <c r="M18" i="60" s="1"/>
  <c r="P18" i="60" l="1"/>
  <c r="L18" i="60"/>
  <c r="P18" i="69"/>
  <c r="P18" i="68"/>
  <c r="P18" i="67"/>
  <c r="P18" i="66"/>
  <c r="P18" i="65"/>
  <c r="P18" i="64"/>
  <c r="P18" i="63"/>
  <c r="P18" i="61"/>
  <c r="L18" i="70"/>
  <c r="P18" i="70"/>
  <c r="Q17" i="65"/>
  <c r="Q17" i="67"/>
  <c r="R17" i="67" s="1"/>
  <c r="Q17" i="68"/>
  <c r="Q17" i="66"/>
  <c r="R17" i="66" s="1"/>
  <c r="Q17" i="63"/>
  <c r="Q17" i="61"/>
  <c r="Q17" i="60"/>
  <c r="Q17" i="69"/>
  <c r="R17" i="69" s="1"/>
  <c r="L18" i="58"/>
  <c r="L19" i="58"/>
  <c r="L18" i="69"/>
  <c r="L18" i="68"/>
  <c r="L18" i="67"/>
  <c r="L18" i="66"/>
  <c r="L18" i="65"/>
  <c r="L18" i="64"/>
  <c r="L18" i="63"/>
  <c r="L18" i="61"/>
  <c r="A20" i="58"/>
  <c r="A19" i="70"/>
  <c r="M19" i="70" s="1"/>
  <c r="A19" i="69"/>
  <c r="M19" i="69" s="1"/>
  <c r="A19" i="68"/>
  <c r="M19" i="68" s="1"/>
  <c r="A19" i="67"/>
  <c r="M19" i="67" s="1"/>
  <c r="A19" i="66"/>
  <c r="M19" i="66" s="1"/>
  <c r="A19" i="65"/>
  <c r="M19" i="65" s="1"/>
  <c r="A19" i="64"/>
  <c r="M19" i="64" s="1"/>
  <c r="A19" i="63"/>
  <c r="M19" i="63" s="1"/>
  <c r="A19" i="61"/>
  <c r="M19" i="61" s="1"/>
  <c r="A19" i="60"/>
  <c r="M19" i="60" s="1"/>
  <c r="L19" i="60" l="1"/>
  <c r="P19" i="70"/>
  <c r="P19" i="69"/>
  <c r="P19" i="68"/>
  <c r="P19" i="67"/>
  <c r="P19" i="66"/>
  <c r="P19" i="65"/>
  <c r="P19" i="64"/>
  <c r="P19" i="63"/>
  <c r="P19" i="61"/>
  <c r="P19" i="60"/>
  <c r="Q18" i="63"/>
  <c r="Q18" i="60"/>
  <c r="Q18" i="66"/>
  <c r="R18" i="66" s="1"/>
  <c r="Q18" i="65"/>
  <c r="R18" i="65" s="1"/>
  <c r="Q18" i="69"/>
  <c r="R18" i="69" s="1"/>
  <c r="Q18" i="64"/>
  <c r="Q18" i="68"/>
  <c r="Q18" i="70"/>
  <c r="R18" i="70" s="1"/>
  <c r="Q18" i="67"/>
  <c r="Q18" i="61"/>
  <c r="L20" i="58"/>
  <c r="L19" i="70"/>
  <c r="L19" i="69"/>
  <c r="L19" i="68"/>
  <c r="L19" i="67"/>
  <c r="L19" i="66"/>
  <c r="L19" i="65"/>
  <c r="L19" i="64"/>
  <c r="L19" i="63"/>
  <c r="L19" i="61"/>
  <c r="A21" i="58"/>
  <c r="A20" i="70"/>
  <c r="M20" i="70" s="1"/>
  <c r="A20" i="69"/>
  <c r="M20" i="69" s="1"/>
  <c r="A20" i="68"/>
  <c r="M20" i="68" s="1"/>
  <c r="A20" i="67"/>
  <c r="M20" i="67" s="1"/>
  <c r="A20" i="66"/>
  <c r="M20" i="66" s="1"/>
  <c r="A20" i="65"/>
  <c r="M20" i="65" s="1"/>
  <c r="A20" i="64"/>
  <c r="M20" i="64" s="1"/>
  <c r="A20" i="63"/>
  <c r="M20" i="63" s="1"/>
  <c r="A20" i="61"/>
  <c r="M20" i="61" s="1"/>
  <c r="A20" i="60"/>
  <c r="M20" i="60" s="1"/>
  <c r="L20" i="60" l="1"/>
  <c r="P20" i="70"/>
  <c r="P20" i="69"/>
  <c r="P20" i="68"/>
  <c r="P20" i="67"/>
  <c r="P20" i="66"/>
  <c r="P20" i="65"/>
  <c r="P20" i="64"/>
  <c r="P20" i="63"/>
  <c r="P20" i="61"/>
  <c r="P20" i="60"/>
  <c r="Q19" i="65"/>
  <c r="Q19" i="69"/>
  <c r="Q19" i="68"/>
  <c r="Q19" i="60"/>
  <c r="Q19" i="67"/>
  <c r="Q19" i="64"/>
  <c r="Q19" i="61"/>
  <c r="Q19" i="70"/>
  <c r="Q19" i="63"/>
  <c r="Q19" i="66"/>
  <c r="L21" i="58"/>
  <c r="L20" i="70"/>
  <c r="L20" i="69"/>
  <c r="L20" i="68"/>
  <c r="L20" i="67"/>
  <c r="L20" i="66"/>
  <c r="L20" i="65"/>
  <c r="L20" i="64"/>
  <c r="L20" i="63"/>
  <c r="L20" i="61"/>
  <c r="A22" i="58"/>
  <c r="A21" i="70"/>
  <c r="M21" i="70" s="1"/>
  <c r="A21" i="69"/>
  <c r="M21" i="69" s="1"/>
  <c r="A21" i="68"/>
  <c r="M21" i="68" s="1"/>
  <c r="A21" i="67"/>
  <c r="M21" i="67" s="1"/>
  <c r="A21" i="66"/>
  <c r="M21" i="66" s="1"/>
  <c r="A21" i="65"/>
  <c r="M21" i="65" s="1"/>
  <c r="A21" i="64"/>
  <c r="M21" i="64" s="1"/>
  <c r="A21" i="63"/>
  <c r="M21" i="63" s="1"/>
  <c r="A21" i="61"/>
  <c r="M21" i="61" s="1"/>
  <c r="A21" i="60"/>
  <c r="M21" i="60" s="1"/>
  <c r="L21" i="60" l="1"/>
  <c r="P21" i="70"/>
  <c r="P21" i="69"/>
  <c r="P21" i="68"/>
  <c r="P21" i="67"/>
  <c r="P21" i="66"/>
  <c r="P21" i="65"/>
  <c r="P21" i="64"/>
  <c r="P21" i="63"/>
  <c r="P21" i="61"/>
  <c r="P21" i="60"/>
  <c r="Q20" i="68"/>
  <c r="Q20" i="67"/>
  <c r="Q20" i="63"/>
  <c r="Q20" i="65"/>
  <c r="Q20" i="69"/>
  <c r="R20" i="69" s="1"/>
  <c r="Q20" i="66"/>
  <c r="R20" i="66" s="1"/>
  <c r="Q20" i="60"/>
  <c r="Q20" i="64"/>
  <c r="R20" i="64" s="1"/>
  <c r="Q20" i="70"/>
  <c r="R20" i="70" s="1"/>
  <c r="Q20" i="61"/>
  <c r="L22" i="58"/>
  <c r="L21" i="70"/>
  <c r="L21" i="69"/>
  <c r="L21" i="68"/>
  <c r="L21" i="67"/>
  <c r="L21" i="66"/>
  <c r="L21" i="65"/>
  <c r="L21" i="64"/>
  <c r="L21" i="63"/>
  <c r="L21" i="61"/>
  <c r="A23" i="58"/>
  <c r="A22" i="70"/>
  <c r="M22" i="70" s="1"/>
  <c r="A22" i="69"/>
  <c r="M22" i="69" s="1"/>
  <c r="A22" i="68"/>
  <c r="M22" i="68" s="1"/>
  <c r="A22" i="67"/>
  <c r="M22" i="67" s="1"/>
  <c r="A22" i="66"/>
  <c r="M22" i="66" s="1"/>
  <c r="A22" i="65"/>
  <c r="M22" i="65" s="1"/>
  <c r="A22" i="64"/>
  <c r="M22" i="64" s="1"/>
  <c r="A22" i="63"/>
  <c r="M22" i="63" s="1"/>
  <c r="A22" i="61"/>
  <c r="M22" i="61" s="1"/>
  <c r="A22" i="60"/>
  <c r="M22" i="60" s="1"/>
  <c r="L22" i="60" l="1"/>
  <c r="P22" i="70"/>
  <c r="P22" i="69"/>
  <c r="P22" i="68"/>
  <c r="P22" i="67"/>
  <c r="P22" i="66"/>
  <c r="P22" i="65"/>
  <c r="P22" i="64"/>
  <c r="P22" i="63"/>
  <c r="P22" i="61"/>
  <c r="P22" i="60"/>
  <c r="Q21" i="68"/>
  <c r="R21" i="68" s="1"/>
  <c r="Q21" i="65"/>
  <c r="R21" i="65" s="1"/>
  <c r="Q21" i="67"/>
  <c r="Q21" i="63"/>
  <c r="Q21" i="66"/>
  <c r="R21" i="66" s="1"/>
  <c r="Q21" i="64"/>
  <c r="R21" i="64" s="1"/>
  <c r="Q21" i="69"/>
  <c r="R21" i="69" s="1"/>
  <c r="Q21" i="70"/>
  <c r="R21" i="70" s="1"/>
  <c r="Q21" i="61"/>
  <c r="Q21" i="60"/>
  <c r="L23" i="58"/>
  <c r="L22" i="70"/>
  <c r="L22" i="69"/>
  <c r="L22" i="68"/>
  <c r="L22" i="67"/>
  <c r="L22" i="66"/>
  <c r="L22" i="65"/>
  <c r="L22" i="64"/>
  <c r="L22" i="63"/>
  <c r="L22" i="61"/>
  <c r="A24" i="58"/>
  <c r="A23" i="70"/>
  <c r="M23" i="70" s="1"/>
  <c r="A23" i="69"/>
  <c r="M23" i="69" s="1"/>
  <c r="A23" i="68"/>
  <c r="M23" i="68" s="1"/>
  <c r="A23" i="67"/>
  <c r="M23" i="67" s="1"/>
  <c r="A23" i="66"/>
  <c r="M23" i="66" s="1"/>
  <c r="A23" i="65"/>
  <c r="M23" i="65" s="1"/>
  <c r="A23" i="64"/>
  <c r="M23" i="64" s="1"/>
  <c r="A23" i="63"/>
  <c r="M23" i="63" s="1"/>
  <c r="A23" i="61"/>
  <c r="M23" i="61" s="1"/>
  <c r="A23" i="60"/>
  <c r="M23" i="60" s="1"/>
  <c r="L23" i="60" l="1"/>
  <c r="P23" i="70"/>
  <c r="P23" i="69"/>
  <c r="P23" i="68"/>
  <c r="P23" i="67"/>
  <c r="P23" i="66"/>
  <c r="P23" i="65"/>
  <c r="P23" i="64"/>
  <c r="P23" i="63"/>
  <c r="P23" i="61"/>
  <c r="P23" i="60"/>
  <c r="Q22" i="65"/>
  <c r="Q22" i="68"/>
  <c r="R22" i="68" s="1"/>
  <c r="Q22" i="63"/>
  <c r="Q22" i="66"/>
  <c r="R22" i="66" s="1"/>
  <c r="Q22" i="67"/>
  <c r="Q22" i="60"/>
  <c r="Q22" i="70"/>
  <c r="R22" i="70" s="1"/>
  <c r="Q22" i="61"/>
  <c r="Q22" i="64"/>
  <c r="Q22" i="69"/>
  <c r="R22" i="69" s="1"/>
  <c r="L23" i="70"/>
  <c r="L23" i="69"/>
  <c r="L23" i="68"/>
  <c r="L23" i="67"/>
  <c r="L23" i="66"/>
  <c r="L23" i="65"/>
  <c r="L23" i="64"/>
  <c r="L23" i="63"/>
  <c r="L23" i="61"/>
  <c r="A25" i="58"/>
  <c r="A24" i="70"/>
  <c r="M24" i="70" s="1"/>
  <c r="A24" i="69"/>
  <c r="M24" i="69" s="1"/>
  <c r="A24" i="68"/>
  <c r="M24" i="68" s="1"/>
  <c r="A24" i="67"/>
  <c r="M24" i="67" s="1"/>
  <c r="A24" i="66"/>
  <c r="A24" i="65"/>
  <c r="M24" i="65" s="1"/>
  <c r="A24" i="64"/>
  <c r="M24" i="64" s="1"/>
  <c r="A24" i="63"/>
  <c r="M24" i="63" s="1"/>
  <c r="A24" i="61"/>
  <c r="M24" i="61" s="1"/>
  <c r="A24" i="60"/>
  <c r="M24" i="60" s="1"/>
  <c r="P24" i="60" l="1"/>
  <c r="L24" i="60"/>
  <c r="P24" i="70"/>
  <c r="P24" i="69"/>
  <c r="P24" i="68"/>
  <c r="P24" i="67"/>
  <c r="P24" i="65"/>
  <c r="P24" i="64"/>
  <c r="P24" i="63"/>
  <c r="P24" i="61"/>
  <c r="Q23" i="61"/>
  <c r="Q23" i="68"/>
  <c r="Q23" i="65"/>
  <c r="Q23" i="66"/>
  <c r="R23" i="66" s="1"/>
  <c r="Q23" i="63"/>
  <c r="Q23" i="69"/>
  <c r="R23" i="69" s="1"/>
  <c r="Q23" i="64"/>
  <c r="Q23" i="60"/>
  <c r="Q23" i="67"/>
  <c r="R23" i="67" s="1"/>
  <c r="Q23" i="70"/>
  <c r="R23" i="70" s="1"/>
  <c r="L25" i="58"/>
  <c r="L24" i="70"/>
  <c r="L24" i="69"/>
  <c r="L24" i="68"/>
  <c r="L24" i="67"/>
  <c r="Q24" i="66"/>
  <c r="R24" i="66" s="1"/>
  <c r="L24" i="66"/>
  <c r="L24" i="65"/>
  <c r="L24" i="64"/>
  <c r="L24" i="63"/>
  <c r="L24" i="61"/>
  <c r="A25" i="63"/>
  <c r="M25" i="63" s="1"/>
  <c r="A26" i="58"/>
  <c r="A25" i="70"/>
  <c r="M25" i="70" s="1"/>
  <c r="A25" i="69"/>
  <c r="M25" i="69" s="1"/>
  <c r="A25" i="68"/>
  <c r="M25" i="68" s="1"/>
  <c r="A25" i="67"/>
  <c r="M25" i="67" s="1"/>
  <c r="A25" i="66"/>
  <c r="M25" i="66" s="1"/>
  <c r="A25" i="65"/>
  <c r="M25" i="65" s="1"/>
  <c r="A25" i="64"/>
  <c r="M25" i="64" s="1"/>
  <c r="A25" i="61"/>
  <c r="M25" i="61" s="1"/>
  <c r="A25" i="60"/>
  <c r="M25" i="60" s="1"/>
  <c r="P25" i="60" l="1"/>
  <c r="L25" i="60"/>
  <c r="P25" i="70"/>
  <c r="P25" i="69"/>
  <c r="P25" i="68"/>
  <c r="P25" i="67"/>
  <c r="P25" i="66"/>
  <c r="P25" i="65"/>
  <c r="P25" i="64"/>
  <c r="P25" i="63"/>
  <c r="P25" i="61"/>
  <c r="Q24" i="67"/>
  <c r="R24" i="67" s="1"/>
  <c r="Q24" i="61"/>
  <c r="Q24" i="63"/>
  <c r="Q24" i="64"/>
  <c r="Q24" i="70"/>
  <c r="R24" i="70" s="1"/>
  <c r="Q24" i="65"/>
  <c r="Q24" i="69"/>
  <c r="R24" i="69" s="1"/>
  <c r="Q24" i="60"/>
  <c r="Q24" i="68"/>
  <c r="L26" i="58"/>
  <c r="L25" i="63"/>
  <c r="L25" i="70"/>
  <c r="L25" i="69"/>
  <c r="L25" i="68"/>
  <c r="L25" i="67"/>
  <c r="L25" i="66"/>
  <c r="L25" i="65"/>
  <c r="L25" i="64"/>
  <c r="L25" i="61"/>
  <c r="A26" i="63"/>
  <c r="M26" i="63" s="1"/>
  <c r="A27" i="58"/>
  <c r="A26" i="70"/>
  <c r="M26" i="70" s="1"/>
  <c r="A26" i="69"/>
  <c r="M26" i="69" s="1"/>
  <c r="A26" i="68"/>
  <c r="M26" i="68" s="1"/>
  <c r="A26" i="67"/>
  <c r="M26" i="67" s="1"/>
  <c r="A26" i="66"/>
  <c r="M26" i="66" s="1"/>
  <c r="A26" i="65"/>
  <c r="M26" i="65" s="1"/>
  <c r="A26" i="64"/>
  <c r="M26" i="64" s="1"/>
  <c r="A26" i="61"/>
  <c r="M26" i="61" s="1"/>
  <c r="A26" i="60"/>
  <c r="M26" i="60" s="1"/>
  <c r="L26" i="60" l="1"/>
  <c r="P26" i="70"/>
  <c r="P26" i="69"/>
  <c r="P26" i="68"/>
  <c r="P26" i="67"/>
  <c r="P26" i="66"/>
  <c r="P26" i="65"/>
  <c r="P26" i="64"/>
  <c r="P26" i="63"/>
  <c r="P26" i="61"/>
  <c r="P26" i="60"/>
  <c r="Q25" i="68"/>
  <c r="Q25" i="60"/>
  <c r="Q25" i="66"/>
  <c r="Q25" i="64"/>
  <c r="Q25" i="61"/>
  <c r="Q25" i="67"/>
  <c r="Q25" i="63"/>
  <c r="Q25" i="70"/>
  <c r="R25" i="70" s="1"/>
  <c r="Q25" i="65"/>
  <c r="R25" i="65" s="1"/>
  <c r="Q25" i="69"/>
  <c r="R25" i="69" s="1"/>
  <c r="L27" i="58"/>
  <c r="L26" i="70"/>
  <c r="L26" i="69"/>
  <c r="L26" i="68"/>
  <c r="L26" i="67"/>
  <c r="L26" i="66"/>
  <c r="L26" i="65"/>
  <c r="L26" i="64"/>
  <c r="L26" i="63"/>
  <c r="L26" i="61"/>
  <c r="A28" i="58"/>
  <c r="A27" i="70"/>
  <c r="M27" i="70" s="1"/>
  <c r="A27" i="69"/>
  <c r="M27" i="69" s="1"/>
  <c r="A27" i="68"/>
  <c r="M27" i="68" s="1"/>
  <c r="A27" i="67"/>
  <c r="M27" i="67" s="1"/>
  <c r="A27" i="66"/>
  <c r="M27" i="66" s="1"/>
  <c r="A27" i="65"/>
  <c r="M27" i="65" s="1"/>
  <c r="A27" i="64"/>
  <c r="M27" i="64" s="1"/>
  <c r="A27" i="63"/>
  <c r="M27" i="63" s="1"/>
  <c r="A27" i="61"/>
  <c r="M27" i="61" s="1"/>
  <c r="A27" i="60"/>
  <c r="M27" i="60" s="1"/>
  <c r="P27" i="63" l="1"/>
  <c r="Q27" i="63" s="1"/>
  <c r="L27" i="60"/>
  <c r="P27" i="70"/>
  <c r="P27" i="69"/>
  <c r="P27" i="68"/>
  <c r="P27" i="67"/>
  <c r="P27" i="66"/>
  <c r="P27" i="65"/>
  <c r="P27" i="64"/>
  <c r="P27" i="61"/>
  <c r="P27" i="60"/>
  <c r="Q26" i="60"/>
  <c r="Q26" i="69"/>
  <c r="R26" i="69" s="1"/>
  <c r="Q26" i="68"/>
  <c r="Q26" i="63"/>
  <c r="Q26" i="67"/>
  <c r="Q26" i="65"/>
  <c r="R26" i="65" s="1"/>
  <c r="Q26" i="64"/>
  <c r="Q26" i="70"/>
  <c r="R26" i="70" s="1"/>
  <c r="Q26" i="66"/>
  <c r="Q26" i="61"/>
  <c r="L28" i="58"/>
  <c r="L27" i="70"/>
  <c r="L27" i="69"/>
  <c r="L27" i="68"/>
  <c r="L27" i="67"/>
  <c r="L27" i="66"/>
  <c r="L27" i="65"/>
  <c r="L27" i="64"/>
  <c r="L27" i="63"/>
  <c r="L27" i="61"/>
  <c r="A29" i="58"/>
  <c r="A28" i="70"/>
  <c r="M28" i="70" s="1"/>
  <c r="A28" i="69"/>
  <c r="M28" i="69" s="1"/>
  <c r="A28" i="68"/>
  <c r="M28" i="68" s="1"/>
  <c r="A28" i="67"/>
  <c r="M28" i="67" s="1"/>
  <c r="A28" i="66"/>
  <c r="M28" i="66" s="1"/>
  <c r="A28" i="65"/>
  <c r="M28" i="65" s="1"/>
  <c r="A28" i="64"/>
  <c r="M28" i="64" s="1"/>
  <c r="A28" i="63"/>
  <c r="M28" i="63" s="1"/>
  <c r="A28" i="61"/>
  <c r="M28" i="61" s="1"/>
  <c r="A28" i="60"/>
  <c r="M28" i="60" s="1"/>
  <c r="L28" i="60" l="1"/>
  <c r="P28" i="70"/>
  <c r="P28" i="69"/>
  <c r="P28" i="68"/>
  <c r="P28" i="67"/>
  <c r="P28" i="66"/>
  <c r="P28" i="65"/>
  <c r="P28" i="64"/>
  <c r="P28" i="63"/>
  <c r="P28" i="61"/>
  <c r="P28" i="60"/>
  <c r="Q27" i="67"/>
  <c r="Q27" i="65"/>
  <c r="R27" i="65" s="1"/>
  <c r="Q27" i="64"/>
  <c r="R27" i="64" s="1"/>
  <c r="Q27" i="66"/>
  <c r="Q27" i="60"/>
  <c r="Q27" i="68"/>
  <c r="Q27" i="70"/>
  <c r="R27" i="70" s="1"/>
  <c r="Q27" i="69"/>
  <c r="R27" i="69" s="1"/>
  <c r="L29" i="58"/>
  <c r="L28" i="70"/>
  <c r="L28" i="69"/>
  <c r="L28" i="68"/>
  <c r="L28" i="67"/>
  <c r="L28" i="66"/>
  <c r="L28" i="65"/>
  <c r="L28" i="64"/>
  <c r="L28" i="63"/>
  <c r="L28" i="61"/>
  <c r="A30" i="58"/>
  <c r="A29" i="70"/>
  <c r="M29" i="70" s="1"/>
  <c r="A29" i="69"/>
  <c r="M29" i="69" s="1"/>
  <c r="A29" i="68"/>
  <c r="M29" i="68" s="1"/>
  <c r="A29" i="67"/>
  <c r="M29" i="67" s="1"/>
  <c r="A29" i="66"/>
  <c r="M29" i="66" s="1"/>
  <c r="A29" i="65"/>
  <c r="M29" i="65" s="1"/>
  <c r="A29" i="64"/>
  <c r="M29" i="64" s="1"/>
  <c r="A29" i="63"/>
  <c r="A29" i="61"/>
  <c r="M29" i="61" s="1"/>
  <c r="A29" i="60"/>
  <c r="M29" i="60" s="1"/>
  <c r="L29" i="60" l="1"/>
  <c r="P29" i="70"/>
  <c r="P29" i="69"/>
  <c r="P29" i="68"/>
  <c r="P29" i="67"/>
  <c r="P29" i="66"/>
  <c r="P29" i="65"/>
  <c r="P29" i="64"/>
  <c r="P29" i="63"/>
  <c r="P29" i="61"/>
  <c r="P29" i="60"/>
  <c r="Q28" i="69"/>
  <c r="R28" i="69" s="1"/>
  <c r="Q28" i="67"/>
  <c r="Q28" i="70"/>
  <c r="R28" i="70" s="1"/>
  <c r="Q28" i="66"/>
  <c r="Q28" i="68"/>
  <c r="R28" i="68" s="1"/>
  <c r="Q28" i="65"/>
  <c r="R28" i="65" s="1"/>
  <c r="Q28" i="64"/>
  <c r="R28" i="64" s="1"/>
  <c r="Q28" i="60"/>
  <c r="Q28" i="63"/>
  <c r="L30" i="58"/>
  <c r="L29" i="70"/>
  <c r="L29" i="69"/>
  <c r="L29" i="68"/>
  <c r="L29" i="67"/>
  <c r="L29" i="66"/>
  <c r="L29" i="65"/>
  <c r="L29" i="64"/>
  <c r="L29" i="63"/>
  <c r="L29" i="61"/>
  <c r="A31" i="58"/>
  <c r="A30" i="70"/>
  <c r="M30" i="70" s="1"/>
  <c r="A30" i="69"/>
  <c r="M30" i="69" s="1"/>
  <c r="A30" i="68"/>
  <c r="M30" i="68" s="1"/>
  <c r="A30" i="67"/>
  <c r="M30" i="67" s="1"/>
  <c r="A30" i="66"/>
  <c r="M30" i="66" s="1"/>
  <c r="A30" i="65"/>
  <c r="M30" i="65" s="1"/>
  <c r="A30" i="64"/>
  <c r="M30" i="64" s="1"/>
  <c r="A30" i="63"/>
  <c r="M30" i="63" s="1"/>
  <c r="A30" i="61"/>
  <c r="M30" i="61" s="1"/>
  <c r="A30" i="60"/>
  <c r="M30" i="60" s="1"/>
  <c r="L30" i="60" l="1"/>
  <c r="P30" i="70"/>
  <c r="P30" i="69"/>
  <c r="P30" i="68"/>
  <c r="P30" i="67"/>
  <c r="P30" i="66"/>
  <c r="P30" i="65"/>
  <c r="P30" i="64"/>
  <c r="P30" i="63"/>
  <c r="P30" i="61"/>
  <c r="P30" i="60"/>
  <c r="Q29" i="64"/>
  <c r="Q29" i="69"/>
  <c r="R29" i="69" s="1"/>
  <c r="Q29" i="60"/>
  <c r="Q29" i="67"/>
  <c r="Q29" i="63"/>
  <c r="Q29" i="66"/>
  <c r="R29" i="66" s="1"/>
  <c r="Q29" i="70"/>
  <c r="R29" i="70" s="1"/>
  <c r="Q29" i="65"/>
  <c r="R29" i="65" s="1"/>
  <c r="Q29" i="61"/>
  <c r="Q29" i="68"/>
  <c r="R29" i="68" s="1"/>
  <c r="L30" i="70"/>
  <c r="L30" i="69"/>
  <c r="L30" i="68"/>
  <c r="L30" i="67"/>
  <c r="L30" i="66"/>
  <c r="L30" i="65"/>
  <c r="L30" i="64"/>
  <c r="L30" i="63"/>
  <c r="L30" i="61"/>
  <c r="A32" i="58"/>
  <c r="A31" i="70"/>
  <c r="M31" i="70" s="1"/>
  <c r="A31" i="69"/>
  <c r="M31" i="69" s="1"/>
  <c r="A31" i="68"/>
  <c r="M31" i="68" s="1"/>
  <c r="A31" i="67"/>
  <c r="M31" i="67" s="1"/>
  <c r="A31" i="66"/>
  <c r="M31" i="66" s="1"/>
  <c r="A31" i="65"/>
  <c r="M31" i="65" s="1"/>
  <c r="A31" i="64"/>
  <c r="M31" i="64" s="1"/>
  <c r="A31" i="63"/>
  <c r="M31" i="63" s="1"/>
  <c r="A31" i="61"/>
  <c r="M31" i="61" s="1"/>
  <c r="A31" i="60"/>
  <c r="M31" i="60" s="1"/>
  <c r="L31" i="60" l="1"/>
  <c r="P31" i="70"/>
  <c r="P31" i="69"/>
  <c r="P31" i="68"/>
  <c r="P31" i="67"/>
  <c r="P31" i="66"/>
  <c r="P31" i="65"/>
  <c r="P31" i="64"/>
  <c r="P31" i="63"/>
  <c r="P31" i="61"/>
  <c r="P31" i="60"/>
  <c r="Q30" i="65"/>
  <c r="R30" i="65" s="1"/>
  <c r="Q30" i="68"/>
  <c r="Q30" i="67"/>
  <c r="R30" i="67" s="1"/>
  <c r="Q30" i="70"/>
  <c r="R30" i="70" s="1"/>
  <c r="Q30" i="66"/>
  <c r="R30" i="66" s="1"/>
  <c r="Q30" i="64"/>
  <c r="Q30" i="61"/>
  <c r="Q30" i="63"/>
  <c r="Q30" i="69"/>
  <c r="R30" i="69" s="1"/>
  <c r="Q30" i="60"/>
  <c r="L32" i="58"/>
  <c r="L31" i="70"/>
  <c r="L31" i="69"/>
  <c r="L31" i="68"/>
  <c r="L31" i="67"/>
  <c r="L31" i="66"/>
  <c r="L31" i="65"/>
  <c r="L31" i="64"/>
  <c r="L31" i="63"/>
  <c r="L31" i="61"/>
  <c r="A33" i="58"/>
  <c r="A32" i="70"/>
  <c r="M32" i="70" s="1"/>
  <c r="A32" i="69"/>
  <c r="M32" i="69" s="1"/>
  <c r="A32" i="68"/>
  <c r="M32" i="68" s="1"/>
  <c r="A32" i="67"/>
  <c r="M32" i="67" s="1"/>
  <c r="A32" i="66"/>
  <c r="M32" i="66" s="1"/>
  <c r="A32" i="65"/>
  <c r="M32" i="65" s="1"/>
  <c r="A32" i="64"/>
  <c r="M32" i="64" s="1"/>
  <c r="A32" i="63"/>
  <c r="M32" i="63" s="1"/>
  <c r="A32" i="61"/>
  <c r="M32" i="61" s="1"/>
  <c r="A32" i="60"/>
  <c r="M32" i="60" s="1"/>
  <c r="P32" i="60" l="1"/>
  <c r="L32" i="60"/>
  <c r="P32" i="70"/>
  <c r="P32" i="69"/>
  <c r="P32" i="68"/>
  <c r="P32" i="67"/>
  <c r="P32" i="66"/>
  <c r="P32" i="65"/>
  <c r="P32" i="64"/>
  <c r="P32" i="63"/>
  <c r="P32" i="61"/>
  <c r="Q31" i="64"/>
  <c r="Q31" i="68"/>
  <c r="Q31" i="63"/>
  <c r="Q31" i="65"/>
  <c r="R31" i="65" s="1"/>
  <c r="Q31" i="61"/>
  <c r="Q31" i="70"/>
  <c r="R31" i="70" s="1"/>
  <c r="Q31" i="69"/>
  <c r="R31" i="69" s="1"/>
  <c r="Q31" i="60"/>
  <c r="Q31" i="67"/>
  <c r="R31" i="67" s="1"/>
  <c r="Q31" i="66"/>
  <c r="R31" i="66" s="1"/>
  <c r="L33" i="58"/>
  <c r="L32" i="61"/>
  <c r="L32" i="70"/>
  <c r="L32" i="69"/>
  <c r="L32" i="68"/>
  <c r="L32" i="67"/>
  <c r="L32" i="66"/>
  <c r="L32" i="65"/>
  <c r="L32" i="64"/>
  <c r="L32" i="63"/>
  <c r="Q27" i="61"/>
  <c r="A34" i="58"/>
  <c r="A33" i="70"/>
  <c r="A33" i="69"/>
  <c r="M33" i="69" s="1"/>
  <c r="A33" i="68"/>
  <c r="M33" i="68" s="1"/>
  <c r="A33" i="67"/>
  <c r="M33" i="67" s="1"/>
  <c r="A33" i="66"/>
  <c r="M33" i="66" s="1"/>
  <c r="A33" i="65"/>
  <c r="M33" i="65" s="1"/>
  <c r="A33" i="64"/>
  <c r="M33" i="64" s="1"/>
  <c r="A33" i="63"/>
  <c r="M33" i="63" s="1"/>
  <c r="A33" i="61"/>
  <c r="M33" i="61" s="1"/>
  <c r="A33" i="60"/>
  <c r="M33" i="60" s="1"/>
  <c r="L33" i="70" l="1"/>
  <c r="M33" i="70"/>
  <c r="P33" i="70" s="1"/>
  <c r="Q33" i="70" s="1"/>
  <c r="P33" i="60"/>
  <c r="L33" i="60"/>
  <c r="P33" i="69"/>
  <c r="P33" i="68"/>
  <c r="P33" i="67"/>
  <c r="P33" i="66"/>
  <c r="P33" i="65"/>
  <c r="P33" i="64"/>
  <c r="P33" i="63"/>
  <c r="P33" i="61"/>
  <c r="Q32" i="68"/>
  <c r="Q32" i="67"/>
  <c r="Q32" i="66"/>
  <c r="R32" i="66" s="1"/>
  <c r="Q32" i="64"/>
  <c r="Q32" i="70"/>
  <c r="R32" i="70" s="1"/>
  <c r="Q32" i="65"/>
  <c r="R32" i="65" s="1"/>
  <c r="Q32" i="61"/>
  <c r="Q32" i="69"/>
  <c r="R32" i="69" s="1"/>
  <c r="Q32" i="60"/>
  <c r="Q32" i="63"/>
  <c r="L34" i="58"/>
  <c r="L33" i="61"/>
  <c r="L33" i="69"/>
  <c r="L33" i="68"/>
  <c r="L33" i="67"/>
  <c r="L33" i="66"/>
  <c r="L33" i="65"/>
  <c r="L33" i="64"/>
  <c r="L33" i="63"/>
  <c r="Q28" i="61"/>
  <c r="A35" i="58"/>
  <c r="A34" i="70"/>
  <c r="A34" i="69"/>
  <c r="M34" i="69" s="1"/>
  <c r="A34" i="68"/>
  <c r="M34" i="68" s="1"/>
  <c r="A34" i="67"/>
  <c r="M34" i="67" s="1"/>
  <c r="A34" i="66"/>
  <c r="M34" i="66" s="1"/>
  <c r="A34" i="65"/>
  <c r="M34" i="65" s="1"/>
  <c r="A34" i="64"/>
  <c r="M34" i="64" s="1"/>
  <c r="A34" i="63"/>
  <c r="M34" i="63" s="1"/>
  <c r="A34" i="61"/>
  <c r="M34" i="61" s="1"/>
  <c r="A34" i="60"/>
  <c r="M34" i="60" s="1"/>
  <c r="L34" i="60" l="1"/>
  <c r="P34" i="69"/>
  <c r="P34" i="68"/>
  <c r="P34" i="67"/>
  <c r="P34" i="66"/>
  <c r="P34" i="65"/>
  <c r="P34" i="64"/>
  <c r="P34" i="63"/>
  <c r="P34" i="61"/>
  <c r="P34" i="60"/>
  <c r="Q33" i="69"/>
  <c r="R33" i="69" s="1"/>
  <c r="Q33" i="60"/>
  <c r="Q33" i="68"/>
  <c r="Q33" i="65"/>
  <c r="R33" i="65" s="1"/>
  <c r="Q33" i="67"/>
  <c r="Q33" i="61"/>
  <c r="Q33" i="66"/>
  <c r="R33" i="66" s="1"/>
  <c r="Q33" i="64"/>
  <c r="Q33" i="63"/>
  <c r="L35" i="58"/>
  <c r="L34" i="61"/>
  <c r="Q34" i="70"/>
  <c r="R34" i="70" s="1"/>
  <c r="L34" i="70"/>
  <c r="L34" i="69"/>
  <c r="L34" i="68"/>
  <c r="L34" i="67"/>
  <c r="L34" i="66"/>
  <c r="L34" i="65"/>
  <c r="L34" i="64"/>
  <c r="L34" i="63"/>
  <c r="A35" i="63"/>
  <c r="M35" i="63" s="1"/>
  <c r="A36" i="58"/>
  <c r="A35" i="70"/>
  <c r="A35" i="69"/>
  <c r="M35" i="69" s="1"/>
  <c r="A35" i="68"/>
  <c r="A35" i="67"/>
  <c r="M35" i="67" s="1"/>
  <c r="A35" i="66"/>
  <c r="M35" i="66" s="1"/>
  <c r="A35" i="65"/>
  <c r="M35" i="65" s="1"/>
  <c r="A35" i="64"/>
  <c r="M35" i="64" s="1"/>
  <c r="A35" i="61"/>
  <c r="M35" i="61" s="1"/>
  <c r="A35" i="60"/>
  <c r="M35" i="60" s="1"/>
  <c r="P35" i="60" l="1"/>
  <c r="L35" i="60"/>
  <c r="P35" i="69"/>
  <c r="P35" i="67"/>
  <c r="P35" i="66"/>
  <c r="P35" i="65"/>
  <c r="P35" i="64"/>
  <c r="P35" i="63"/>
  <c r="P35" i="61"/>
  <c r="Q34" i="66"/>
  <c r="R34" i="66" s="1"/>
  <c r="Q34" i="60"/>
  <c r="Q34" i="65"/>
  <c r="R34" i="65" s="1"/>
  <c r="Q34" i="63"/>
  <c r="Q34" i="69"/>
  <c r="R34" i="69" s="1"/>
  <c r="Q34" i="61"/>
  <c r="Q34" i="64"/>
  <c r="R34" i="64" s="1"/>
  <c r="Q34" i="68"/>
  <c r="Q34" i="67"/>
  <c r="L36" i="58"/>
  <c r="Q35" i="70"/>
  <c r="R35" i="70" s="1"/>
  <c r="L35" i="70"/>
  <c r="L35" i="69"/>
  <c r="Q35" i="68"/>
  <c r="R35" i="68" s="1"/>
  <c r="L35" i="68"/>
  <c r="L35" i="67"/>
  <c r="L35" i="66"/>
  <c r="L35" i="65"/>
  <c r="L35" i="64"/>
  <c r="L35" i="63"/>
  <c r="L35" i="61"/>
  <c r="A37" i="58"/>
  <c r="A36" i="70"/>
  <c r="M36" i="70" s="1"/>
  <c r="A36" i="69"/>
  <c r="M36" i="69" s="1"/>
  <c r="A36" i="68"/>
  <c r="M36" i="68" s="1"/>
  <c r="A36" i="67"/>
  <c r="M36" i="67" s="1"/>
  <c r="A36" i="66"/>
  <c r="M36" i="66" s="1"/>
  <c r="A36" i="65"/>
  <c r="M36" i="65" s="1"/>
  <c r="A36" i="64"/>
  <c r="M36" i="64" s="1"/>
  <c r="A36" i="63"/>
  <c r="M36" i="63" s="1"/>
  <c r="A36" i="61"/>
  <c r="M36" i="61" s="1"/>
  <c r="A36" i="60"/>
  <c r="M36" i="60" s="1"/>
  <c r="P36" i="60" l="1"/>
  <c r="L36" i="60"/>
  <c r="P36" i="70"/>
  <c r="P36" i="69"/>
  <c r="P36" i="68"/>
  <c r="P36" i="67"/>
  <c r="P36" i="66"/>
  <c r="P36" i="65"/>
  <c r="P36" i="64"/>
  <c r="P36" i="63"/>
  <c r="P36" i="61"/>
  <c r="Q35" i="69"/>
  <c r="R35" i="69" s="1"/>
  <c r="Q35" i="66"/>
  <c r="R35" i="66" s="1"/>
  <c r="Q35" i="63"/>
  <c r="Q35" i="64"/>
  <c r="R35" i="64" s="1"/>
  <c r="Q35" i="67"/>
  <c r="Q35" i="65"/>
  <c r="R35" i="65" s="1"/>
  <c r="Q35" i="61"/>
  <c r="Q35" i="60"/>
  <c r="L37" i="58"/>
  <c r="L36" i="70"/>
  <c r="L36" i="69"/>
  <c r="L36" i="68"/>
  <c r="L36" i="67"/>
  <c r="L36" i="66"/>
  <c r="L36" i="65"/>
  <c r="L36" i="64"/>
  <c r="L36" i="63"/>
  <c r="L36" i="61"/>
  <c r="A38" i="58"/>
  <c r="A37" i="70"/>
  <c r="M37" i="70" s="1"/>
  <c r="A37" i="69"/>
  <c r="M37" i="69" s="1"/>
  <c r="A37" i="68"/>
  <c r="M37" i="68" s="1"/>
  <c r="A37" i="67"/>
  <c r="M37" i="67" s="1"/>
  <c r="A37" i="66"/>
  <c r="M37" i="66" s="1"/>
  <c r="A37" i="65"/>
  <c r="M37" i="65" s="1"/>
  <c r="A37" i="64"/>
  <c r="M37" i="64" s="1"/>
  <c r="A37" i="63"/>
  <c r="M37" i="63" s="1"/>
  <c r="A37" i="61"/>
  <c r="M37" i="61" s="1"/>
  <c r="A37" i="60"/>
  <c r="M37" i="60" s="1"/>
  <c r="L37" i="60" l="1"/>
  <c r="P37" i="70"/>
  <c r="P37" i="69"/>
  <c r="P37" i="68"/>
  <c r="P37" i="67"/>
  <c r="P37" i="66"/>
  <c r="P37" i="65"/>
  <c r="P37" i="64"/>
  <c r="P37" i="63"/>
  <c r="P37" i="61"/>
  <c r="P37" i="60"/>
  <c r="Q36" i="67"/>
  <c r="Q36" i="65"/>
  <c r="R36" i="65" s="1"/>
  <c r="Q36" i="66"/>
  <c r="R36" i="66" s="1"/>
  <c r="Q36" i="63"/>
  <c r="Q36" i="69"/>
  <c r="Q36" i="60"/>
  <c r="Q36" i="68"/>
  <c r="R36" i="68" s="1"/>
  <c r="Q36" i="70"/>
  <c r="R36" i="70" s="1"/>
  <c r="Q36" i="64"/>
  <c r="Q36" i="61"/>
  <c r="L37" i="61"/>
  <c r="L37" i="70"/>
  <c r="L37" i="69"/>
  <c r="L37" i="68"/>
  <c r="L37" i="67"/>
  <c r="L37" i="66"/>
  <c r="L37" i="65"/>
  <c r="L37" i="64"/>
  <c r="L37" i="63"/>
  <c r="A39" i="58"/>
  <c r="A38" i="70"/>
  <c r="M38" i="70" s="1"/>
  <c r="A38" i="69"/>
  <c r="M38" i="69" s="1"/>
  <c r="A38" i="68"/>
  <c r="M38" i="68" s="1"/>
  <c r="A38" i="67"/>
  <c r="M38" i="67" s="1"/>
  <c r="A38" i="66"/>
  <c r="M38" i="66" s="1"/>
  <c r="A38" i="65"/>
  <c r="M38" i="65" s="1"/>
  <c r="A38" i="64"/>
  <c r="M38" i="64" s="1"/>
  <c r="A38" i="63"/>
  <c r="M38" i="63" s="1"/>
  <c r="A38" i="61"/>
  <c r="M38" i="61" s="1"/>
  <c r="A38" i="60"/>
  <c r="M38" i="60" s="1"/>
  <c r="L38" i="60" l="1"/>
  <c r="P38" i="63"/>
  <c r="Q38" i="63" s="1"/>
  <c r="P38" i="70"/>
  <c r="P38" i="69"/>
  <c r="P38" i="68"/>
  <c r="P38" i="67"/>
  <c r="P38" i="66"/>
  <c r="P38" i="65"/>
  <c r="P38" i="64"/>
  <c r="P38" i="61"/>
  <c r="Q37" i="69"/>
  <c r="R37" i="69" s="1"/>
  <c r="Q37" i="60"/>
  <c r="Q37" i="64"/>
  <c r="Q37" i="68"/>
  <c r="Q37" i="63"/>
  <c r="Q37" i="66"/>
  <c r="R37" i="66" s="1"/>
  <c r="Q37" i="70"/>
  <c r="R37" i="70" s="1"/>
  <c r="Q37" i="61"/>
  <c r="Q37" i="67"/>
  <c r="R37" i="67" s="1"/>
  <c r="Q37" i="65"/>
  <c r="R37" i="65" s="1"/>
  <c r="L39" i="58"/>
  <c r="L38" i="70"/>
  <c r="L38" i="69"/>
  <c r="L38" i="68"/>
  <c r="L38" i="67"/>
  <c r="L38" i="66"/>
  <c r="L38" i="65"/>
  <c r="L38" i="64"/>
  <c r="L38" i="63"/>
  <c r="L38" i="61"/>
  <c r="A40" i="58"/>
  <c r="A39" i="70"/>
  <c r="M39" i="70" s="1"/>
  <c r="A39" i="69"/>
  <c r="M39" i="69" s="1"/>
  <c r="A39" i="68"/>
  <c r="M39" i="68" s="1"/>
  <c r="A39" i="67"/>
  <c r="M39" i="67" s="1"/>
  <c r="A39" i="66"/>
  <c r="M39" i="66" s="1"/>
  <c r="A39" i="65"/>
  <c r="M39" i="65" s="1"/>
  <c r="A39" i="64"/>
  <c r="M39" i="64" s="1"/>
  <c r="A39" i="63"/>
  <c r="A39" i="61"/>
  <c r="M39" i="61" s="1"/>
  <c r="A39" i="60"/>
  <c r="L39" i="60" l="1"/>
  <c r="P39" i="60"/>
  <c r="P38" i="60"/>
  <c r="N9" i="58"/>
  <c r="P39" i="68"/>
  <c r="P39" i="66"/>
  <c r="P39" i="65"/>
  <c r="P39" i="61"/>
  <c r="P39" i="70"/>
  <c r="P39" i="64"/>
  <c r="P39" i="67"/>
  <c r="P39" i="69"/>
  <c r="Q38" i="67"/>
  <c r="R38" i="67" s="1"/>
  <c r="Q38" i="66"/>
  <c r="R38" i="66" s="1"/>
  <c r="Q38" i="64"/>
  <c r="Q38" i="65"/>
  <c r="R38" i="65" s="1"/>
  <c r="Q38" i="61"/>
  <c r="Q38" i="70"/>
  <c r="R38" i="70" s="1"/>
  <c r="Q38" i="69"/>
  <c r="R38" i="69" s="1"/>
  <c r="Q38" i="68"/>
  <c r="L40" i="58"/>
  <c r="L39" i="70"/>
  <c r="L39" i="69"/>
  <c r="L39" i="68"/>
  <c r="L39" i="67"/>
  <c r="L39" i="66"/>
  <c r="L39" i="65"/>
  <c r="L39" i="64"/>
  <c r="L39" i="63"/>
  <c r="L39" i="61"/>
  <c r="A40" i="70"/>
  <c r="A40" i="69"/>
  <c r="A40" i="68"/>
  <c r="M40" i="68" s="1"/>
  <c r="A40" i="67"/>
  <c r="A40" i="66"/>
  <c r="M40" i="66" s="1"/>
  <c r="A40" i="65"/>
  <c r="M40" i="65" s="1"/>
  <c r="A40" i="64"/>
  <c r="A40" i="63"/>
  <c r="M40" i="63" s="1"/>
  <c r="A40" i="61"/>
  <c r="M40" i="61" s="1"/>
  <c r="A40" i="60"/>
  <c r="L40" i="70" l="1"/>
  <c r="M40" i="70"/>
  <c r="P40" i="64"/>
  <c r="P40" i="67"/>
  <c r="P40" i="69"/>
  <c r="Q40" i="69" s="1"/>
  <c r="R40" i="69" s="1"/>
  <c r="N9" i="64"/>
  <c r="D5" i="64" s="1"/>
  <c r="F5" i="64" s="1"/>
  <c r="I5" i="64" s="1"/>
  <c r="L40" i="60"/>
  <c r="P40" i="68"/>
  <c r="N9" i="68"/>
  <c r="P40" i="61"/>
  <c r="N9" i="61"/>
  <c r="P40" i="65"/>
  <c r="N9" i="65"/>
  <c r="P40" i="63"/>
  <c r="N9" i="63"/>
  <c r="P40" i="66"/>
  <c r="N9" i="66"/>
  <c r="P39" i="63"/>
  <c r="Q39" i="63" s="1"/>
  <c r="Q39" i="66"/>
  <c r="R39" i="66" s="1"/>
  <c r="Q39" i="64"/>
  <c r="Q39" i="65"/>
  <c r="R39" i="65" s="1"/>
  <c r="Q39" i="61"/>
  <c r="Q39" i="67"/>
  <c r="Q39" i="70"/>
  <c r="R39" i="70" s="1"/>
  <c r="Q39" i="68"/>
  <c r="Q39" i="69"/>
  <c r="R39" i="69" s="1"/>
  <c r="D5" i="58"/>
  <c r="F5" i="58" s="1"/>
  <c r="I5" i="58" s="1"/>
  <c r="L40" i="69"/>
  <c r="L40" i="68"/>
  <c r="L40" i="67"/>
  <c r="L40" i="66"/>
  <c r="L40" i="65"/>
  <c r="L40" i="64"/>
  <c r="L40" i="63"/>
  <c r="L40" i="61"/>
  <c r="P40" i="70" l="1"/>
  <c r="N9" i="70"/>
  <c r="D5" i="70" s="1"/>
  <c r="F5" i="70" s="1"/>
  <c r="I5" i="70" s="1"/>
  <c r="N9" i="69"/>
  <c r="D5" i="69" s="1"/>
  <c r="F5" i="69" s="1"/>
  <c r="I5" i="69" s="1"/>
  <c r="N9" i="67"/>
  <c r="D5" i="67" s="1"/>
  <c r="F5" i="67" s="1"/>
  <c r="I5" i="67" s="1"/>
  <c r="P40" i="60"/>
  <c r="N9" i="60"/>
  <c r="D5" i="60" s="1"/>
  <c r="F5" i="60" s="1"/>
  <c r="I5" i="60" s="1"/>
  <c r="Q40" i="63"/>
  <c r="D5" i="66"/>
  <c r="F5" i="66" s="1"/>
  <c r="I5" i="66" s="1"/>
  <c r="D5" i="61"/>
  <c r="D5" i="68"/>
  <c r="F5" i="68" s="1"/>
  <c r="I5" i="68" s="1"/>
  <c r="D5" i="65"/>
  <c r="F5" i="65" s="1"/>
  <c r="I5" i="65" s="1"/>
  <c r="I44" i="58"/>
  <c r="I45" i="58" s="1"/>
  <c r="L11" i="70"/>
  <c r="Q40" i="67"/>
  <c r="R40" i="67" s="1"/>
  <c r="Q40" i="61"/>
  <c r="Q40" i="66"/>
  <c r="R40" i="66" s="1"/>
  <c r="Q40" i="68"/>
  <c r="Q40" i="65"/>
  <c r="R40" i="65" s="1"/>
  <c r="D5" i="63"/>
  <c r="F5" i="63" s="1"/>
  <c r="I5" i="63" s="1"/>
  <c r="Q40" i="70"/>
  <c r="R40" i="70" s="1"/>
  <c r="R25" i="66"/>
  <c r="I47" i="58" l="1"/>
  <c r="F5" i="61"/>
  <c r="I5" i="61" s="1"/>
  <c r="L42" i="58" l="1"/>
  <c r="R26" i="66"/>
  <c r="K42" i="58" l="1"/>
  <c r="L44" i="58"/>
  <c r="L45" i="58" s="1"/>
  <c r="K45" i="58" s="1"/>
  <c r="R12" i="70"/>
  <c r="R27" i="66"/>
  <c r="L47" i="58" l="1"/>
  <c r="R28" i="66"/>
  <c r="R13" i="64" l="1"/>
  <c r="R22" i="65" l="1"/>
  <c r="R23" i="65" l="1"/>
  <c r="R24" i="65" l="1"/>
  <c r="B3" i="62" l="1"/>
  <c r="A11" i="62"/>
  <c r="M11" i="62" s="1"/>
  <c r="P11" i="62" l="1"/>
  <c r="L11" i="62"/>
  <c r="A12" i="62"/>
  <c r="M12" i="62" s="1"/>
  <c r="Q10" i="62"/>
  <c r="P12" i="62" l="1"/>
  <c r="Q11" i="62"/>
  <c r="A13" i="62"/>
  <c r="M13" i="62" s="1"/>
  <c r="R10" i="62"/>
  <c r="P13" i="62" l="1"/>
  <c r="Q12" i="62"/>
  <c r="A14" i="62"/>
  <c r="M14" i="62" s="1"/>
  <c r="P14" i="62" l="1"/>
  <c r="Q13" i="62"/>
  <c r="A15" i="62"/>
  <c r="M15" i="62" s="1"/>
  <c r="L14" i="62"/>
  <c r="P15" i="62" l="1"/>
  <c r="Q15" i="62" s="1"/>
  <c r="Q14" i="62"/>
  <c r="A16" i="62"/>
  <c r="M16" i="62" s="1"/>
  <c r="L15" i="62"/>
  <c r="P16" i="62" l="1"/>
  <c r="Q16" i="62" s="1"/>
  <c r="A17" i="62"/>
  <c r="M17" i="62" s="1"/>
  <c r="L16" i="62"/>
  <c r="P17" i="62" l="1"/>
  <c r="L17" i="62"/>
  <c r="A18" i="62"/>
  <c r="M18" i="62" s="1"/>
  <c r="P18" i="62" l="1"/>
  <c r="Q17" i="62"/>
  <c r="A19" i="62"/>
  <c r="M19" i="62" s="1"/>
  <c r="L18" i="62"/>
  <c r="P19" i="62" l="1"/>
  <c r="Q19" i="62" s="1"/>
  <c r="Q18" i="62"/>
  <c r="L19" i="62"/>
  <c r="A20" i="62"/>
  <c r="M20" i="62" s="1"/>
  <c r="P20" i="62" l="1"/>
  <c r="A21" i="62"/>
  <c r="M21" i="62" s="1"/>
  <c r="L20" i="62"/>
  <c r="P21" i="62" l="1"/>
  <c r="Q20" i="62"/>
  <c r="A22" i="62"/>
  <c r="M22" i="62" s="1"/>
  <c r="L21" i="62"/>
  <c r="P22" i="62" l="1"/>
  <c r="Q21" i="62"/>
  <c r="A23" i="62"/>
  <c r="M23" i="62" s="1"/>
  <c r="L22" i="62"/>
  <c r="Q22" i="62" l="1"/>
  <c r="L23" i="62"/>
  <c r="A24" i="62"/>
  <c r="M24" i="62" s="1"/>
  <c r="P23" i="62" l="1"/>
  <c r="Q23" i="62" s="1"/>
  <c r="A25" i="62"/>
  <c r="M25" i="62" s="1"/>
  <c r="L24" i="62"/>
  <c r="P25" i="62" l="1"/>
  <c r="P24" i="62"/>
  <c r="Q24" i="62" s="1"/>
  <c r="A26" i="62"/>
  <c r="M26" i="62" s="1"/>
  <c r="L25" i="62"/>
  <c r="P26" i="62" l="1"/>
  <c r="Q25" i="62"/>
  <c r="A27" i="62"/>
  <c r="M27" i="62" s="1"/>
  <c r="L26" i="62"/>
  <c r="P27" i="62" l="1"/>
  <c r="Q26" i="62"/>
  <c r="A28" i="62"/>
  <c r="M28" i="62" s="1"/>
  <c r="L27" i="62"/>
  <c r="P28" i="62" l="1"/>
  <c r="Q27" i="62"/>
  <c r="A29" i="62"/>
  <c r="M29" i="62" s="1"/>
  <c r="L28" i="62"/>
  <c r="P29" i="62" l="1"/>
  <c r="Q28" i="62"/>
  <c r="A30" i="62"/>
  <c r="M30" i="62" s="1"/>
  <c r="L29" i="62"/>
  <c r="P30" i="62" l="1"/>
  <c r="Q29" i="62"/>
  <c r="A31" i="62"/>
  <c r="M31" i="62" s="1"/>
  <c r="L30" i="62"/>
  <c r="P31" i="62" l="1"/>
  <c r="Q30" i="62"/>
  <c r="A32" i="62"/>
  <c r="M32" i="62" s="1"/>
  <c r="L31" i="62"/>
  <c r="P32" i="62" l="1"/>
  <c r="Q31" i="62"/>
  <c r="A33" i="62"/>
  <c r="M33" i="62" s="1"/>
  <c r="L32" i="62"/>
  <c r="L33" i="62" l="1"/>
  <c r="P33" i="62"/>
  <c r="Q32" i="62"/>
  <c r="A34" i="62"/>
  <c r="M34" i="62" s="1"/>
  <c r="L34" i="62" l="1"/>
  <c r="P34" i="62"/>
  <c r="Q33" i="62"/>
  <c r="A35" i="62"/>
  <c r="M35" i="62" s="1"/>
  <c r="L35" i="62" l="1"/>
  <c r="P35" i="62"/>
  <c r="Q34" i="62"/>
  <c r="A36" i="62"/>
  <c r="M36" i="62" s="1"/>
  <c r="L36" i="62" l="1"/>
  <c r="P36" i="62"/>
  <c r="Q35" i="62"/>
  <c r="A37" i="62"/>
  <c r="M37" i="62" s="1"/>
  <c r="L37" i="62" l="1"/>
  <c r="Q36" i="62"/>
  <c r="A38" i="62"/>
  <c r="M38" i="62" s="1"/>
  <c r="P37" i="62" l="1"/>
  <c r="Q37" i="62" s="1"/>
  <c r="A39" i="62"/>
  <c r="M39" i="62" s="1"/>
  <c r="P38" i="62"/>
  <c r="L38" i="62"/>
  <c r="P39" i="62" l="1"/>
  <c r="Q39" i="62" s="1"/>
  <c r="A40" i="62"/>
  <c r="L39" i="62"/>
  <c r="Q38" i="62"/>
  <c r="L40" i="62" l="1"/>
  <c r="P40" i="62" l="1"/>
  <c r="N9" i="62"/>
  <c r="D5" i="62" s="1"/>
  <c r="D6" i="78" s="1"/>
  <c r="F6" i="78" s="1"/>
  <c r="I6" i="78" s="1"/>
  <c r="F5" i="62" l="1"/>
  <c r="I5" i="62" s="1"/>
  <c r="L10" i="62"/>
  <c r="R10" i="64"/>
  <c r="R11" i="64" l="1"/>
  <c r="R10" i="65"/>
  <c r="R12" i="64" l="1"/>
  <c r="R13" i="65"/>
  <c r="R14" i="65" l="1"/>
  <c r="R15" i="64"/>
  <c r="R15" i="65" l="1"/>
  <c r="R16" i="64"/>
  <c r="R16" i="65" l="1"/>
  <c r="R17" i="64"/>
  <c r="R18" i="64" l="1"/>
  <c r="R17" i="65"/>
  <c r="R20" i="65" l="1"/>
  <c r="R22" i="64" l="1"/>
  <c r="R23" i="64" l="1"/>
  <c r="R24" i="64" l="1"/>
  <c r="R25" i="64" l="1"/>
  <c r="R26" i="64" l="1"/>
  <c r="R29" i="64" l="1"/>
  <c r="R30" i="64" l="1"/>
  <c r="R31" i="64" l="1"/>
  <c r="R32" i="64" l="1"/>
  <c r="R36" i="64" l="1"/>
  <c r="R37" i="64" l="1"/>
  <c r="R38" i="64" l="1"/>
  <c r="R39" i="64" l="1"/>
  <c r="O12" i="58" l="1"/>
  <c r="P12" i="58" s="1"/>
  <c r="Q12" i="58" l="1"/>
  <c r="R10" i="58"/>
  <c r="O11" i="58"/>
  <c r="P11" i="58" s="1"/>
  <c r="Q11" i="58" l="1"/>
  <c r="O14" i="58"/>
  <c r="P14" i="58" s="1"/>
  <c r="O13" i="58"/>
  <c r="P13" i="58" s="1"/>
  <c r="Q13" i="58" l="1"/>
  <c r="Q14" i="58"/>
  <c r="O16" i="58"/>
  <c r="P16" i="58" s="1"/>
  <c r="O17" i="58"/>
  <c r="P17" i="58" s="1"/>
  <c r="O15" i="58"/>
  <c r="P15" i="58" s="1"/>
  <c r="O18" i="58"/>
  <c r="P18" i="58" s="1"/>
  <c r="L17" i="58"/>
  <c r="Q17" i="58" l="1"/>
  <c r="Q16" i="58"/>
  <c r="Q18" i="58"/>
  <c r="Q15" i="58"/>
  <c r="O29" i="58"/>
  <c r="P29" i="58" s="1"/>
  <c r="O21" i="58"/>
  <c r="P21" i="58" s="1"/>
  <c r="O20" i="58"/>
  <c r="P20" i="58" s="1"/>
  <c r="O25" i="58"/>
  <c r="P25" i="58" s="1"/>
  <c r="L31" i="58"/>
  <c r="O32" i="58"/>
  <c r="P32" i="58" s="1"/>
  <c r="O27" i="58"/>
  <c r="P27" i="58" s="1"/>
  <c r="O19" i="58"/>
  <c r="P19" i="58" s="1"/>
  <c r="O34" i="58"/>
  <c r="P34" i="58" s="1"/>
  <c r="O28" i="58"/>
  <c r="P28" i="58" s="1"/>
  <c r="O24" i="58"/>
  <c r="P24" i="58" s="1"/>
  <c r="O23" i="58"/>
  <c r="P23" i="58" s="1"/>
  <c r="L38" i="58"/>
  <c r="O39" i="58"/>
  <c r="P39" i="58" s="1"/>
  <c r="O35" i="58"/>
  <c r="P35" i="58" s="1"/>
  <c r="O22" i="58"/>
  <c r="P22" i="58" s="1"/>
  <c r="O37" i="58"/>
  <c r="P37" i="58" s="1"/>
  <c r="O26" i="58"/>
  <c r="P26" i="58" s="1"/>
  <c r="O31" i="58"/>
  <c r="P31" i="58" s="1"/>
  <c r="O38" i="58"/>
  <c r="P38" i="58" s="1"/>
  <c r="L24" i="58"/>
  <c r="O36" i="58"/>
  <c r="P36" i="58" s="1"/>
  <c r="O40" i="58"/>
  <c r="P40" i="58" s="1"/>
  <c r="O30" i="58"/>
  <c r="P30" i="58" s="1"/>
  <c r="O33" i="58"/>
  <c r="P33" i="58" s="1"/>
  <c r="Q33" i="58" l="1"/>
  <c r="Q30" i="58"/>
  <c r="Q26" i="58"/>
  <c r="Q27" i="58"/>
  <c r="Q29" i="58"/>
  <c r="Q28" i="58"/>
  <c r="Q38" i="58"/>
  <c r="Q23" i="58"/>
  <c r="Q22" i="58"/>
  <c r="Q20" i="58"/>
  <c r="Q34" i="58"/>
  <c r="Q31" i="58"/>
  <c r="Q39" i="58"/>
  <c r="Q25" i="58"/>
  <c r="Q19" i="58"/>
  <c r="Q32" i="58"/>
  <c r="Q36" i="58"/>
  <c r="Q37" i="58"/>
  <c r="Q35" i="58"/>
  <c r="Q21" i="58"/>
  <c r="Q40" i="58"/>
  <c r="Q24" i="58"/>
  <c r="L7" i="58"/>
  <c r="L4" i="60" s="1"/>
  <c r="I42" i="60"/>
  <c r="R9" i="58"/>
  <c r="S9" i="60" l="1"/>
  <c r="R10" i="60" s="1"/>
  <c r="S10" i="58"/>
  <c r="S11" i="58" l="1"/>
  <c r="R11" i="58"/>
  <c r="S12" i="58" l="1"/>
  <c r="R12" i="58"/>
  <c r="R13" i="58" l="1"/>
  <c r="S13" i="58"/>
  <c r="R14" i="58" l="1"/>
  <c r="S14" i="58"/>
  <c r="S15" i="58" l="1"/>
  <c r="R15" i="58"/>
  <c r="S16" i="58" l="1"/>
  <c r="R16" i="58"/>
  <c r="R17" i="58" l="1"/>
  <c r="S17" i="58"/>
  <c r="S18" i="58" s="1"/>
  <c r="R18" i="58" l="1"/>
  <c r="R19" i="58" l="1"/>
  <c r="S19" i="58"/>
  <c r="S20" i="58" l="1"/>
  <c r="S21" i="58" s="1"/>
  <c r="R20" i="58"/>
  <c r="R21" i="58" l="1"/>
  <c r="R22" i="58"/>
  <c r="S22" i="58"/>
  <c r="S23" i="58" l="1"/>
  <c r="R23" i="58"/>
  <c r="S24" i="58" l="1"/>
  <c r="R25" i="58" s="1"/>
  <c r="R24" i="58"/>
  <c r="S25" i="58" l="1"/>
  <c r="S26" i="58" s="1"/>
  <c r="R26" i="58" l="1"/>
  <c r="S27" i="58"/>
  <c r="R27" i="58"/>
  <c r="S28" i="58" l="1"/>
  <c r="S29" i="58" s="1"/>
  <c r="R28" i="58"/>
  <c r="R29" i="58" l="1"/>
  <c r="R30" i="58"/>
  <c r="S30" i="58"/>
  <c r="S31" i="58" l="1"/>
  <c r="R31" i="58"/>
  <c r="S32" i="58" l="1"/>
  <c r="S33" i="58" s="1"/>
  <c r="R32" i="58"/>
  <c r="R33" i="58" l="1"/>
  <c r="S34" i="58"/>
  <c r="S35" i="58" s="1"/>
  <c r="R34" i="58"/>
  <c r="R35" i="58" l="1"/>
  <c r="S36" i="58"/>
  <c r="R36" i="58"/>
  <c r="S37" i="58" l="1"/>
  <c r="R37" i="58"/>
  <c r="R38" i="58" l="1"/>
  <c r="S38" i="58"/>
  <c r="S39" i="58" l="1"/>
  <c r="R39" i="58"/>
  <c r="S40" i="58" l="1"/>
  <c r="R40" i="58"/>
  <c r="I44" i="67"/>
  <c r="I45" i="67" s="1"/>
  <c r="I44" i="63"/>
  <c r="I45" i="63" s="1"/>
  <c r="I44" i="66"/>
  <c r="I45" i="66" s="1"/>
  <c r="I44" i="64"/>
  <c r="I45" i="64" s="1"/>
  <c r="I44" i="70"/>
  <c r="I45" i="70" s="1"/>
  <c r="I44" i="62"/>
  <c r="I45" i="62" s="1"/>
  <c r="I44" i="69"/>
  <c r="I45" i="69" s="1"/>
  <c r="I44" i="61"/>
  <c r="I45" i="61" s="1"/>
  <c r="I44" i="65"/>
  <c r="I45" i="65" s="1"/>
  <c r="I44" i="68"/>
  <c r="I45" i="68" s="1"/>
  <c r="L7" i="60"/>
  <c r="L4" i="61" s="1"/>
  <c r="I44" i="60"/>
  <c r="I45" i="60" s="1"/>
  <c r="I47" i="60" s="1"/>
  <c r="L42" i="60" s="1"/>
  <c r="K42" i="60" l="1"/>
  <c r="L44" i="60"/>
  <c r="L45" i="60" s="1"/>
  <c r="K45" i="60" s="1"/>
  <c r="R9" i="60"/>
  <c r="S10" i="60"/>
  <c r="L47" i="60" l="1"/>
  <c r="S11" i="60"/>
  <c r="R11" i="60"/>
  <c r="R19" i="65"/>
  <c r="R19" i="70"/>
  <c r="R19" i="66"/>
  <c r="R19" i="64"/>
  <c r="R19" i="69"/>
  <c r="S12" i="60" l="1"/>
  <c r="R12" i="60"/>
  <c r="S13" i="60" l="1"/>
  <c r="R13" i="60"/>
  <c r="L42" i="62" l="1"/>
  <c r="S14" i="60"/>
  <c r="R14" i="60"/>
  <c r="I42" i="61"/>
  <c r="K42" i="62" l="1"/>
  <c r="L44" i="62"/>
  <c r="L45" i="62" s="1"/>
  <c r="K45" i="62" s="1"/>
  <c r="I47" i="61"/>
  <c r="S15" i="60"/>
  <c r="R15" i="60"/>
  <c r="L7" i="61"/>
  <c r="L4" i="62" s="1"/>
  <c r="L7" i="62" s="1"/>
  <c r="L4" i="63" s="1"/>
  <c r="S9" i="61"/>
  <c r="R10" i="61" s="1"/>
  <c r="I42" i="63"/>
  <c r="I47" i="63" s="1"/>
  <c r="L42" i="61" l="1"/>
  <c r="L42" i="63"/>
  <c r="R12" i="62"/>
  <c r="S16" i="60"/>
  <c r="R16" i="60"/>
  <c r="S10" i="61"/>
  <c r="R9" i="61"/>
  <c r="S9" i="63"/>
  <c r="R10" i="63" s="1"/>
  <c r="L7" i="63"/>
  <c r="L4" i="64" s="1"/>
  <c r="K42" i="63" l="1"/>
  <c r="L44" i="63"/>
  <c r="L45" i="63" s="1"/>
  <c r="K45" i="63" s="1"/>
  <c r="K42" i="61"/>
  <c r="L44" i="61"/>
  <c r="L45" i="61" s="1"/>
  <c r="K45" i="61" s="1"/>
  <c r="R13" i="62"/>
  <c r="S11" i="61"/>
  <c r="R11" i="61"/>
  <c r="S17" i="60"/>
  <c r="R17" i="60"/>
  <c r="R9" i="63"/>
  <c r="S10" i="63"/>
  <c r="I42" i="65"/>
  <c r="I47" i="65" s="1"/>
  <c r="L42" i="65" l="1"/>
  <c r="S11" i="63"/>
  <c r="R11" i="63"/>
  <c r="R14" i="62"/>
  <c r="S12" i="61"/>
  <c r="R12" i="61"/>
  <c r="S18" i="60"/>
  <c r="R18" i="60"/>
  <c r="S9" i="65"/>
  <c r="K42" i="65" l="1"/>
  <c r="L44" i="65"/>
  <c r="L45" i="65" s="1"/>
  <c r="K45" i="65" s="1"/>
  <c r="S12" i="63"/>
  <c r="R12" i="63"/>
  <c r="R15" i="62"/>
  <c r="S13" i="61"/>
  <c r="R13" i="61"/>
  <c r="S19" i="60"/>
  <c r="R19" i="60"/>
  <c r="L47" i="61"/>
  <c r="I42" i="62" s="1"/>
  <c r="S10" i="65"/>
  <c r="S11" i="65" s="1"/>
  <c r="R9" i="65"/>
  <c r="I42" i="66"/>
  <c r="I47" i="66" s="1"/>
  <c r="I47" i="62" l="1"/>
  <c r="L47" i="62" s="1"/>
  <c r="S9" i="62"/>
  <c r="L42" i="66"/>
  <c r="S12" i="65"/>
  <c r="S13" i="65" s="1"/>
  <c r="S14" i="65" s="1"/>
  <c r="S15" i="65" s="1"/>
  <c r="S16" i="65" s="1"/>
  <c r="S17" i="65" s="1"/>
  <c r="S18" i="65" s="1"/>
  <c r="S19" i="65" s="1"/>
  <c r="S20" i="65" s="1"/>
  <c r="S21" i="65" s="1"/>
  <c r="S22" i="65" s="1"/>
  <c r="S23" i="65" s="1"/>
  <c r="S24" i="65" s="1"/>
  <c r="S25" i="65" s="1"/>
  <c r="S26" i="65" s="1"/>
  <c r="S27" i="65" s="1"/>
  <c r="S28" i="65" s="1"/>
  <c r="S29" i="65" s="1"/>
  <c r="S30" i="65" s="1"/>
  <c r="S31" i="65" s="1"/>
  <c r="S32" i="65" s="1"/>
  <c r="S33" i="65" s="1"/>
  <c r="S34" i="65" s="1"/>
  <c r="S35" i="65" s="1"/>
  <c r="S36" i="65" s="1"/>
  <c r="S37" i="65" s="1"/>
  <c r="S38" i="65" s="1"/>
  <c r="S39" i="65" s="1"/>
  <c r="S40" i="65" s="1"/>
  <c r="R12" i="65"/>
  <c r="S13" i="63"/>
  <c r="R13" i="63"/>
  <c r="R16" i="62"/>
  <c r="S14" i="61"/>
  <c r="R14" i="61"/>
  <c r="S20" i="60"/>
  <c r="R20" i="60"/>
  <c r="L47" i="63"/>
  <c r="I42" i="64" s="1"/>
  <c r="I47" i="64" s="1"/>
  <c r="S9" i="66"/>
  <c r="S10" i="62" l="1"/>
  <c r="R9" i="62"/>
  <c r="L42" i="64"/>
  <c r="K42" i="66"/>
  <c r="L44" i="66"/>
  <c r="L45" i="66" s="1"/>
  <c r="K45" i="66" s="1"/>
  <c r="S14" i="63"/>
  <c r="R14" i="63"/>
  <c r="R17" i="62"/>
  <c r="S15" i="61"/>
  <c r="R15" i="61"/>
  <c r="S21" i="60"/>
  <c r="R21" i="60"/>
  <c r="L7" i="64"/>
  <c r="L4" i="65" s="1"/>
  <c r="L7" i="65" s="1"/>
  <c r="L4" i="66" s="1"/>
  <c r="L7" i="66" s="1"/>
  <c r="L4" i="67" s="1"/>
  <c r="S9" i="64"/>
  <c r="S10" i="66"/>
  <c r="S11" i="66" s="1"/>
  <c r="S12" i="66" s="1"/>
  <c r="S13" i="66" s="1"/>
  <c r="S14" i="66" s="1"/>
  <c r="S15" i="66" s="1"/>
  <c r="S16" i="66" s="1"/>
  <c r="S17" i="66" s="1"/>
  <c r="S18" i="66" s="1"/>
  <c r="S19" i="66" s="1"/>
  <c r="S20" i="66" s="1"/>
  <c r="S21" i="66" s="1"/>
  <c r="S22" i="66" s="1"/>
  <c r="S23" i="66" s="1"/>
  <c r="S24" i="66" s="1"/>
  <c r="S25" i="66" s="1"/>
  <c r="S26" i="66" s="1"/>
  <c r="S27" i="66" s="1"/>
  <c r="S28" i="66" s="1"/>
  <c r="S29" i="66" s="1"/>
  <c r="S30" i="66" s="1"/>
  <c r="S31" i="66" s="1"/>
  <c r="S32" i="66" s="1"/>
  <c r="S33" i="66" s="1"/>
  <c r="S34" i="66" s="1"/>
  <c r="S35" i="66" s="1"/>
  <c r="S36" i="66" s="1"/>
  <c r="S37" i="66" s="1"/>
  <c r="S38" i="66" s="1"/>
  <c r="S39" i="66" s="1"/>
  <c r="S40" i="66" s="1"/>
  <c r="R9" i="66"/>
  <c r="S11" i="62" l="1"/>
  <c r="S12" i="62" s="1"/>
  <c r="S13" i="62" s="1"/>
  <c r="S14" i="62" s="1"/>
  <c r="S15" i="62" s="1"/>
  <c r="S16" i="62" s="1"/>
  <c r="S17" i="62" s="1"/>
  <c r="R11" i="62"/>
  <c r="L44" i="64"/>
  <c r="L45" i="64" s="1"/>
  <c r="K45" i="64" s="1"/>
  <c r="K42" i="64"/>
  <c r="S15" i="63"/>
  <c r="R15" i="63"/>
  <c r="S18" i="62"/>
  <c r="R18" i="62"/>
  <c r="S16" i="61"/>
  <c r="R16" i="61"/>
  <c r="S22" i="60"/>
  <c r="R22" i="60"/>
  <c r="R9" i="64"/>
  <c r="S10" i="64"/>
  <c r="S11" i="64" s="1"/>
  <c r="S12" i="64" s="1"/>
  <c r="S13" i="64" s="1"/>
  <c r="S14" i="64" s="1"/>
  <c r="S15" i="64" s="1"/>
  <c r="S16" i="64" s="1"/>
  <c r="S17" i="64" s="1"/>
  <c r="S18" i="64" s="1"/>
  <c r="S19" i="64" s="1"/>
  <c r="S20" i="64" s="1"/>
  <c r="S21" i="64" s="1"/>
  <c r="S22" i="64" s="1"/>
  <c r="S23" i="64" s="1"/>
  <c r="S24" i="64" s="1"/>
  <c r="S25" i="64" s="1"/>
  <c r="S26" i="64" s="1"/>
  <c r="S27" i="64" s="1"/>
  <c r="S28" i="64" s="1"/>
  <c r="S29" i="64" s="1"/>
  <c r="S30" i="64" s="1"/>
  <c r="S31" i="64" s="1"/>
  <c r="S32" i="64" s="1"/>
  <c r="L47" i="65"/>
  <c r="S33" i="64" l="1"/>
  <c r="S34" i="64" s="1"/>
  <c r="S35" i="64" s="1"/>
  <c r="S36" i="64" s="1"/>
  <c r="S37" i="64" s="1"/>
  <c r="S38" i="64" s="1"/>
  <c r="S39" i="64" s="1"/>
  <c r="S40" i="64" s="1"/>
  <c r="R33" i="64"/>
  <c r="S16" i="63"/>
  <c r="R16" i="63"/>
  <c r="S19" i="62"/>
  <c r="R19" i="62"/>
  <c r="S17" i="61"/>
  <c r="R17" i="61"/>
  <c r="S23" i="60"/>
  <c r="R23" i="60"/>
  <c r="S17" i="63" l="1"/>
  <c r="R17" i="63"/>
  <c r="S20" i="62"/>
  <c r="R20" i="62"/>
  <c r="S18" i="61"/>
  <c r="R18" i="61"/>
  <c r="S24" i="60"/>
  <c r="R24" i="60"/>
  <c r="L47" i="64"/>
  <c r="L47" i="66"/>
  <c r="I42" i="67" s="1"/>
  <c r="I47" i="67" s="1"/>
  <c r="L42" i="67" l="1"/>
  <c r="S18" i="63"/>
  <c r="R18" i="63"/>
  <c r="S21" i="62"/>
  <c r="R21" i="62"/>
  <c r="S19" i="61"/>
  <c r="R19" i="61"/>
  <c r="R25" i="60"/>
  <c r="S25" i="60"/>
  <c r="S9" i="67"/>
  <c r="L7" i="67"/>
  <c r="L4" i="68" s="1"/>
  <c r="K42" i="67" l="1"/>
  <c r="L44" i="67"/>
  <c r="L45" i="67" s="1"/>
  <c r="K45" i="67" s="1"/>
  <c r="S19" i="63"/>
  <c r="R19" i="63"/>
  <c r="S22" i="62"/>
  <c r="R22" i="62"/>
  <c r="S20" i="61"/>
  <c r="R20" i="61"/>
  <c r="S26" i="60"/>
  <c r="R26" i="60"/>
  <c r="S10" i="67"/>
  <c r="R9" i="67"/>
  <c r="S11" i="67" l="1"/>
  <c r="S12" i="67" s="1"/>
  <c r="R11" i="67"/>
  <c r="R12" i="67"/>
  <c r="S20" i="63"/>
  <c r="R20" i="63"/>
  <c r="S23" i="62"/>
  <c r="R23" i="62"/>
  <c r="S21" i="61"/>
  <c r="R21" i="61"/>
  <c r="S27" i="60"/>
  <c r="R27" i="60"/>
  <c r="S13" i="67" l="1"/>
  <c r="R13" i="67"/>
  <c r="S21" i="63"/>
  <c r="R21" i="63"/>
  <c r="S24" i="62"/>
  <c r="R24" i="62"/>
  <c r="S22" i="61"/>
  <c r="R22" i="61"/>
  <c r="S28" i="60"/>
  <c r="R28" i="60"/>
  <c r="S14" i="67" l="1"/>
  <c r="R14" i="67"/>
  <c r="L47" i="67"/>
  <c r="I42" i="68" s="1"/>
  <c r="I47" i="68" s="1"/>
  <c r="S22" i="63"/>
  <c r="R22" i="63"/>
  <c r="S25" i="62"/>
  <c r="R25" i="62"/>
  <c r="S23" i="61"/>
  <c r="R23" i="61"/>
  <c r="S29" i="60"/>
  <c r="R29" i="60"/>
  <c r="L42" i="68" l="1"/>
  <c r="S15" i="67"/>
  <c r="S16" i="67" s="1"/>
  <c r="S17" i="67" s="1"/>
  <c r="R15" i="67"/>
  <c r="L7" i="68"/>
  <c r="L4" i="69" s="1"/>
  <c r="S9" i="68"/>
  <c r="R10" i="68" s="1"/>
  <c r="S23" i="63"/>
  <c r="R23" i="63"/>
  <c r="S26" i="62"/>
  <c r="R26" i="62"/>
  <c r="S24" i="61"/>
  <c r="R24" i="61"/>
  <c r="S30" i="60"/>
  <c r="R30" i="60"/>
  <c r="K42" i="68" l="1"/>
  <c r="L44" i="68"/>
  <c r="L45" i="68" s="1"/>
  <c r="K45" i="68" s="1"/>
  <c r="S18" i="67"/>
  <c r="R18" i="67"/>
  <c r="R9" i="68"/>
  <c r="S10" i="68"/>
  <c r="S24" i="63"/>
  <c r="R24" i="63"/>
  <c r="S27" i="62"/>
  <c r="R27" i="62"/>
  <c r="S25" i="61"/>
  <c r="R25" i="61"/>
  <c r="S31" i="60"/>
  <c r="R31" i="60"/>
  <c r="S19" i="67" l="1"/>
  <c r="R19" i="67"/>
  <c r="S11" i="68"/>
  <c r="S12" i="68" s="1"/>
  <c r="S13" i="68" s="1"/>
  <c r="S14" i="68" s="1"/>
  <c r="S15" i="68" s="1"/>
  <c r="S16" i="68" s="1"/>
  <c r="R11" i="68"/>
  <c r="S25" i="63"/>
  <c r="R25" i="63"/>
  <c r="S28" i="62"/>
  <c r="R28" i="62"/>
  <c r="S26" i="61"/>
  <c r="R26" i="61"/>
  <c r="S32" i="60"/>
  <c r="R32" i="60"/>
  <c r="R12" i="68" l="1"/>
  <c r="S20" i="67"/>
  <c r="R20" i="67"/>
  <c r="R13" i="68"/>
  <c r="R16" i="68"/>
  <c r="S17" i="68"/>
  <c r="S18" i="68" s="1"/>
  <c r="S19" i="68" s="1"/>
  <c r="S20" i="68" s="1"/>
  <c r="S21" i="68" s="1"/>
  <c r="S22" i="68" s="1"/>
  <c r="S23" i="68" s="1"/>
  <c r="R24" i="68" s="1"/>
  <c r="R17" i="68"/>
  <c r="L47" i="68"/>
  <c r="I42" i="69" s="1"/>
  <c r="I47" i="69" s="1"/>
  <c r="K45" i="69" s="1"/>
  <c r="S26" i="63"/>
  <c r="R26" i="63"/>
  <c r="S29" i="62"/>
  <c r="R29" i="62"/>
  <c r="S27" i="61"/>
  <c r="R27" i="61"/>
  <c r="S33" i="60"/>
  <c r="R33" i="60"/>
  <c r="R21" i="67" l="1"/>
  <c r="S21" i="67"/>
  <c r="R19" i="68"/>
  <c r="R18" i="68"/>
  <c r="S24" i="68"/>
  <c r="S25" i="68" s="1"/>
  <c r="R20" i="68"/>
  <c r="R23" i="68"/>
  <c r="S9" i="69"/>
  <c r="L7" i="69"/>
  <c r="L4" i="70" s="1"/>
  <c r="S27" i="63"/>
  <c r="R27" i="63"/>
  <c r="S30" i="62"/>
  <c r="R30" i="62"/>
  <c r="S28" i="61"/>
  <c r="R28" i="61"/>
  <c r="S34" i="60"/>
  <c r="R34" i="60"/>
  <c r="R22" i="67" l="1"/>
  <c r="S22" i="67"/>
  <c r="S23" i="67" s="1"/>
  <c r="S24" i="67" s="1"/>
  <c r="R25" i="68"/>
  <c r="S26" i="68"/>
  <c r="R26" i="68"/>
  <c r="S10" i="69"/>
  <c r="R9" i="69"/>
  <c r="S28" i="63"/>
  <c r="R28" i="63"/>
  <c r="S31" i="62"/>
  <c r="R31" i="62"/>
  <c r="S29" i="61"/>
  <c r="R29" i="61"/>
  <c r="S35" i="60"/>
  <c r="R35" i="60"/>
  <c r="S25" i="67" l="1"/>
  <c r="R25" i="67"/>
  <c r="S27" i="68"/>
  <c r="S28" i="68" s="1"/>
  <c r="S29" i="68" s="1"/>
  <c r="R27" i="68"/>
  <c r="S11" i="69"/>
  <c r="S12" i="69" s="1"/>
  <c r="R11" i="69"/>
  <c r="R33" i="70"/>
  <c r="S29" i="63"/>
  <c r="R29" i="63"/>
  <c r="S32" i="62"/>
  <c r="R32" i="62"/>
  <c r="S30" i="61"/>
  <c r="R30" i="61"/>
  <c r="S36" i="60"/>
  <c r="R36" i="60"/>
  <c r="S13" i="69" l="1"/>
  <c r="S14" i="69" s="1"/>
  <c r="S15" i="69" s="1"/>
  <c r="S16" i="69" s="1"/>
  <c r="S17" i="69" s="1"/>
  <c r="S18" i="69" s="1"/>
  <c r="S19" i="69" s="1"/>
  <c r="S20" i="69" s="1"/>
  <c r="S21" i="69" s="1"/>
  <c r="S22" i="69" s="1"/>
  <c r="S23" i="69" s="1"/>
  <c r="S24" i="69" s="1"/>
  <c r="S25" i="69" s="1"/>
  <c r="S26" i="69" s="1"/>
  <c r="S27" i="69" s="1"/>
  <c r="S28" i="69" s="1"/>
  <c r="S29" i="69" s="1"/>
  <c r="S30" i="69" s="1"/>
  <c r="S31" i="69" s="1"/>
  <c r="S32" i="69" s="1"/>
  <c r="S33" i="69" s="1"/>
  <c r="S34" i="69" s="1"/>
  <c r="S35" i="69" s="1"/>
  <c r="S36" i="69" s="1"/>
  <c r="S37" i="69" s="1"/>
  <c r="S38" i="69" s="1"/>
  <c r="S39" i="69" s="1"/>
  <c r="S40" i="69" s="1"/>
  <c r="R13" i="69"/>
  <c r="S26" i="67"/>
  <c r="R26" i="67"/>
  <c r="S30" i="68"/>
  <c r="R30" i="68"/>
  <c r="R36" i="69"/>
  <c r="L47" i="69"/>
  <c r="I42" i="70" s="1"/>
  <c r="I47" i="70" s="1"/>
  <c r="L42" i="70" s="1"/>
  <c r="S30" i="63"/>
  <c r="R30" i="63"/>
  <c r="S33" i="62"/>
  <c r="R33" i="62"/>
  <c r="S31" i="61"/>
  <c r="R31" i="61"/>
  <c r="S37" i="60"/>
  <c r="R37" i="60"/>
  <c r="K42" i="70" l="1"/>
  <c r="L44" i="70"/>
  <c r="L45" i="70" s="1"/>
  <c r="K45" i="70" s="1"/>
  <c r="S27" i="67"/>
  <c r="R27" i="67"/>
  <c r="S31" i="68"/>
  <c r="R31" i="68"/>
  <c r="S9" i="70"/>
  <c r="I15" i="78"/>
  <c r="I17" i="78" s="1"/>
  <c r="I18" i="78" s="1"/>
  <c r="L18" i="78" s="1"/>
  <c r="L7" i="70"/>
  <c r="S31" i="63"/>
  <c r="R31" i="63"/>
  <c r="S34" i="62"/>
  <c r="R34" i="62"/>
  <c r="S32" i="61"/>
  <c r="R32" i="61"/>
  <c r="S28" i="67" l="1"/>
  <c r="R28" i="67"/>
  <c r="S32" i="68"/>
  <c r="R32" i="68"/>
  <c r="S10" i="70"/>
  <c r="S11" i="70" s="1"/>
  <c r="S12" i="70" s="1"/>
  <c r="S13" i="70" s="1"/>
  <c r="S14" i="70" s="1"/>
  <c r="S15" i="70" s="1"/>
  <c r="S16" i="70" s="1"/>
  <c r="S17" i="70" s="1"/>
  <c r="S18" i="70" s="1"/>
  <c r="S19" i="70" s="1"/>
  <c r="S20" i="70" s="1"/>
  <c r="S21" i="70" s="1"/>
  <c r="S22" i="70" s="1"/>
  <c r="S23" i="70" s="1"/>
  <c r="S24" i="70" s="1"/>
  <c r="S25" i="70" s="1"/>
  <c r="S26" i="70" s="1"/>
  <c r="S27" i="70" s="1"/>
  <c r="S28" i="70" s="1"/>
  <c r="S29" i="70" s="1"/>
  <c r="S30" i="70" s="1"/>
  <c r="S31" i="70" s="1"/>
  <c r="S32" i="70" s="1"/>
  <c r="S33" i="70" s="1"/>
  <c r="S34" i="70" s="1"/>
  <c r="S35" i="70" s="1"/>
  <c r="S36" i="70" s="1"/>
  <c r="S37" i="70" s="1"/>
  <c r="S38" i="70" s="1"/>
  <c r="S39" i="70" s="1"/>
  <c r="S40" i="70" s="1"/>
  <c r="R9" i="70"/>
  <c r="S32" i="63"/>
  <c r="R32" i="63"/>
  <c r="S35" i="62"/>
  <c r="R35" i="62"/>
  <c r="S33" i="61"/>
  <c r="R33" i="61"/>
  <c r="S29" i="67" l="1"/>
  <c r="S30" i="67" s="1"/>
  <c r="S31" i="67" s="1"/>
  <c r="R29" i="67"/>
  <c r="R33" i="68"/>
  <c r="S33" i="68"/>
  <c r="S33" i="63"/>
  <c r="R33" i="63"/>
  <c r="S36" i="62"/>
  <c r="R36" i="62"/>
  <c r="S34" i="61"/>
  <c r="R34" i="61"/>
  <c r="S32" i="67" l="1"/>
  <c r="R32" i="67"/>
  <c r="S34" i="68"/>
  <c r="S35" i="68" s="1"/>
  <c r="S36" i="68" s="1"/>
  <c r="R34" i="68"/>
  <c r="L47" i="70"/>
  <c r="S34" i="63"/>
  <c r="R34" i="63"/>
  <c r="S37" i="62"/>
  <c r="R37" i="62"/>
  <c r="S35" i="61"/>
  <c r="R35" i="61"/>
  <c r="R33" i="67" l="1"/>
  <c r="S33" i="67"/>
  <c r="S37" i="68"/>
  <c r="R37" i="68"/>
  <c r="S35" i="63"/>
  <c r="R35" i="63"/>
  <c r="S38" i="62"/>
  <c r="R38" i="62"/>
  <c r="S36" i="61"/>
  <c r="R36" i="61"/>
  <c r="S34" i="67" l="1"/>
  <c r="R34" i="67"/>
  <c r="S38" i="68"/>
  <c r="R38" i="68"/>
  <c r="S36" i="63"/>
  <c r="R36" i="63"/>
  <c r="S39" i="62"/>
  <c r="R39" i="62"/>
  <c r="S37" i="61"/>
  <c r="R37" i="61"/>
  <c r="R35" i="67" l="1"/>
  <c r="S35" i="67"/>
  <c r="S39" i="68"/>
  <c r="R39" i="68"/>
  <c r="S37" i="63"/>
  <c r="R37" i="63"/>
  <c r="S38" i="61"/>
  <c r="R38" i="61"/>
  <c r="S36" i="67" l="1"/>
  <c r="S37" i="67" s="1"/>
  <c r="S38" i="67" s="1"/>
  <c r="R36" i="67"/>
  <c r="S40" i="68"/>
  <c r="R40" i="68"/>
  <c r="S38" i="63"/>
  <c r="R38" i="63"/>
  <c r="S39" i="61"/>
  <c r="R39" i="61"/>
  <c r="R39" i="67" l="1"/>
  <c r="S39" i="67"/>
  <c r="S40" i="67" s="1"/>
  <c r="S39" i="63"/>
  <c r="R39" i="63"/>
  <c r="S40" i="61"/>
  <c r="R40" i="61"/>
  <c r="S40" i="63" l="1"/>
  <c r="R40" i="63"/>
</calcChain>
</file>

<file path=xl/sharedStrings.xml><?xml version="1.0" encoding="utf-8"?>
<sst xmlns="http://schemas.openxmlformats.org/spreadsheetml/2006/main" count="920" uniqueCount="226">
  <si>
    <t>Name:</t>
  </si>
  <si>
    <t>Gültig für Monat:</t>
  </si>
  <si>
    <t>Abteilung:</t>
  </si>
  <si>
    <t>Kostenstelle:</t>
  </si>
  <si>
    <t>Datum</t>
  </si>
  <si>
    <t>KOMMT</t>
  </si>
  <si>
    <t>GEHT</t>
  </si>
  <si>
    <t xml:space="preserve"> Ist
Zeit
</t>
  </si>
  <si>
    <t>SOLL-Zeit laufendes Monat</t>
  </si>
  <si>
    <t>Unterschrift MitarbeiterIn: _____________________</t>
  </si>
  <si>
    <t>Datum: ........................</t>
  </si>
  <si>
    <t xml:space="preserve">
Pause</t>
  </si>
  <si>
    <t>Arzt,etc.</t>
  </si>
  <si>
    <t>Begründung</t>
  </si>
  <si>
    <t>Arbeitszeit pro Woche</t>
  </si>
  <si>
    <t>Zeitaufzeichnung</t>
  </si>
  <si>
    <t xml:space="preserve">Saldo </t>
  </si>
  <si>
    <t>Url.Anspruch ab</t>
  </si>
  <si>
    <t>Saldo Urlaub Vormonat</t>
  </si>
  <si>
    <t>Neuer Anspruch</t>
  </si>
  <si>
    <t>Url.verbr. Lfd.Monat</t>
  </si>
  <si>
    <t>Resturlaub p.Mo Ende</t>
  </si>
  <si>
    <t>geleistete Stunden</t>
  </si>
  <si>
    <t>Christi Himmelfahrt</t>
  </si>
  <si>
    <t>Fronleichnam</t>
  </si>
  <si>
    <t>Karfreitag</t>
  </si>
  <si>
    <t>Gründonnerstag</t>
  </si>
  <si>
    <t>Ostermontag</t>
  </si>
  <si>
    <t>Neujahr</t>
  </si>
  <si>
    <t>Dreikönig</t>
  </si>
  <si>
    <t>Nationalfeiertag</t>
  </si>
  <si>
    <t>Allerheiligen</t>
  </si>
  <si>
    <t>Allerseelen</t>
  </si>
  <si>
    <t>Maria Empfängnis</t>
  </si>
  <si>
    <t>Silvester</t>
  </si>
  <si>
    <t>Maria Himmelfahrt</t>
  </si>
  <si>
    <t>Ostersonntag</t>
  </si>
  <si>
    <t>Karsamstag</t>
  </si>
  <si>
    <t>Staatsfeiertag</t>
  </si>
  <si>
    <t>Arbeitstage</t>
  </si>
  <si>
    <t>Arzt usw.</t>
  </si>
  <si>
    <t>Sollzeit gesamt</t>
  </si>
  <si>
    <t>Urlaub</t>
  </si>
  <si>
    <t>vorges. Sollzeit</t>
  </si>
  <si>
    <t>à</t>
  </si>
  <si>
    <t>Übertrag:</t>
  </si>
  <si>
    <t>Finanzkammer der
Erzdiözese Salzburg</t>
  </si>
  <si>
    <t>Vortrag aus Vormonat</t>
  </si>
  <si>
    <t>Unterschrift AbteilungsleiterIn: _________________________</t>
  </si>
  <si>
    <t>alles Weitere wird durch Formeln ausgefüllt bzw. berechnet   (Vorsicht - Formeln nicht überschreiben!)</t>
  </si>
  <si>
    <t>Pfingstdienstag</t>
  </si>
  <si>
    <t>Christtag</t>
  </si>
  <si>
    <t>Stephanitag</t>
  </si>
  <si>
    <t>Pfingstsonntag</t>
  </si>
  <si>
    <t>Url.Anspruch im Jahr</t>
  </si>
  <si>
    <r>
      <t xml:space="preserve">im Kommaformat:  für 5:30  =  </t>
    </r>
    <r>
      <rPr>
        <b/>
        <sz val="10"/>
        <rFont val="Arial"/>
        <family val="2"/>
      </rPr>
      <t>5,50</t>
    </r>
  </si>
  <si>
    <t>Arbeitszeiten</t>
  </si>
  <si>
    <t>In den Monatsblättern (Jänner - Dezember) sind am jeweiligen Tag nur die Spalten kommt/geht, Pause, Arzt etc. und Begründung einzutragen</t>
  </si>
  <si>
    <t>Arbeitsstunden pro Woche</t>
  </si>
  <si>
    <t>Diensteintritt (Format: T/M/JJJJ)</t>
  </si>
  <si>
    <t>Urlaubsanspruch pro Jahr</t>
  </si>
  <si>
    <t>Wenn das Formular mit Jänner beginnt, dann Urlaubssaldo vom Dezember des Vorjahres eintragen</t>
  </si>
  <si>
    <t>Wenn das Formular mit einem anderen Monat beginnt, dann Urlaubssaldo vom Vormonat eintragen</t>
  </si>
  <si>
    <t>Wenn das Formular mit Jänner beginnt, dann "Vortrag aus Vormonat" vom Dezember des Vorjahres eintragen</t>
  </si>
  <si>
    <t>Wenn das Formular mit einem anderen Monat beginnt, dann "Vortrag aus Vormonat" vom Vormonat eintragen</t>
  </si>
  <si>
    <t>Eingabe ist in zwei Varianten möglich:</t>
  </si>
  <si>
    <r>
      <t>oder im Zeitformat  (</t>
    </r>
    <r>
      <rPr>
        <b/>
        <sz val="10"/>
        <rFont val="Arial"/>
        <family val="2"/>
      </rPr>
      <t>h:mm</t>
    </r>
    <r>
      <rPr>
        <sz val="10"/>
        <rFont val="Arial"/>
        <family val="2"/>
      </rPr>
      <t xml:space="preserve">, z.B. 14:25) -  </t>
    </r>
    <r>
      <rPr>
        <b/>
        <sz val="10"/>
        <rFont val="Arial"/>
        <family val="2"/>
      </rPr>
      <t>funktioniert aber nicht bei Minusstunden!</t>
    </r>
  </si>
  <si>
    <t>Arbeitsstunden pro Tag</t>
  </si>
  <si>
    <t>Name des Feiertages</t>
  </si>
  <si>
    <t>Typ</t>
  </si>
  <si>
    <t>zusätzliche freie Tage ED Salzburg</t>
  </si>
  <si>
    <t>Heilige 3 Könige</t>
  </si>
  <si>
    <t>Hl. Josef</t>
  </si>
  <si>
    <t>Maifeiertag</t>
  </si>
  <si>
    <t>Pfingstmontag</t>
  </si>
  <si>
    <t>Mariä Himmelfahrt</t>
  </si>
  <si>
    <t>Hl. Rupert</t>
  </si>
  <si>
    <t>Mariä Empfängnis</t>
  </si>
  <si>
    <t>Hl. Abend</t>
  </si>
  <si>
    <t>Stefanitag</t>
  </si>
  <si>
    <t>bitte gewünschtes Jahr eingeben:</t>
  </si>
  <si>
    <t>1. Adventsonntag</t>
  </si>
  <si>
    <t>Pause</t>
  </si>
  <si>
    <t xml:space="preserve"> IstZeit</t>
  </si>
  <si>
    <t>Arzt,etc</t>
  </si>
  <si>
    <t>Mi, 08. Jän 2014</t>
  </si>
  <si>
    <t>Do, 09. Jän 2014</t>
  </si>
  <si>
    <t>Fr, 10. Jän 2014</t>
  </si>
  <si>
    <t>krank</t>
  </si>
  <si>
    <t>Mo, 13. Jän 2014</t>
  </si>
  <si>
    <t>Exerzitien</t>
  </si>
  <si>
    <t>Di, 14. Jän 2014</t>
  </si>
  <si>
    <t>Sonderurlaub (Todesfall)</t>
  </si>
  <si>
    <t>Mi, 15. Jän 2014</t>
  </si>
  <si>
    <r>
      <t>Angeordnete Überstunden</t>
    </r>
    <r>
      <rPr>
        <sz val="10"/>
        <rFont val="Arial"/>
        <family val="2"/>
      </rPr>
      <t xml:space="preserve"> werden zeitmäßig 1:1,5 abgegolten, d.h. bei 1 Überstunde reduziert sich meine "Sollzeit gesamt" um 1/2 Stunde</t>
    </r>
  </si>
  <si>
    <r>
      <t>entsprechende</t>
    </r>
    <r>
      <rPr>
        <b/>
        <sz val="10"/>
        <rFont val="Arial"/>
        <family val="2"/>
      </rPr>
      <t xml:space="preserve"> Begründung</t>
    </r>
    <r>
      <rPr>
        <sz val="10"/>
        <rFont val="Arial"/>
        <family val="2"/>
      </rPr>
      <t xml:space="preserve"> eintragen</t>
    </r>
  </si>
  <si>
    <t>7:45 </t>
  </si>
  <si>
    <t>Angeordnete Überstunden (20-23 PGR in Werfen)</t>
  </si>
  <si>
    <t>Erklärung: Angeordnete Überstunden außerhalb des Gleitzeitrahmens von 20 Uhr bis 23 Uhr (für 3 angeordnete Überstunden werden mir 1 ½ Stunden von meiner monatlichen „Sollzeit gesamt“ automatisch abgezogen)</t>
  </si>
  <si>
    <t>Geöffneter Gleitzeitrahmen</t>
  </si>
  <si>
    <t>Z.B. für die Aktion „Offener Himmel“ wird  der Gleitzeitrahmen geöffnet. In der Spalte Begründung wird eingetragen: geöffneter Gleitzeitrahmen</t>
  </si>
  <si>
    <t>IstZeit/Tag</t>
  </si>
  <si>
    <t>Sollzeit/Tag</t>
  </si>
  <si>
    <t>Saldo/Tag</t>
  </si>
  <si>
    <t>aktuelles Zeitguthaben</t>
  </si>
  <si>
    <t>zur persönlichen Information:</t>
  </si>
  <si>
    <t>Bei ganztägigem Zeitausgleich bitte in der Spalte Begründung die Buchstaben ZA eintragen.</t>
  </si>
  <si>
    <t>Do, 16. Jän 2014</t>
  </si>
  <si>
    <t>ZA</t>
  </si>
  <si>
    <t>bisher geleistete Stunden</t>
  </si>
  <si>
    <t>Vortrag vom Vorjahr</t>
  </si>
  <si>
    <t>SOLL-Zeit laufendes Jahr</t>
  </si>
  <si>
    <t>Überblick über gesamtes Jahr</t>
  </si>
  <si>
    <t>Arbeitstage im Jahr</t>
  </si>
  <si>
    <t>Di, 04. Mär 2014</t>
  </si>
  <si>
    <t>Achtung: Schreibschutz nur aufheben, wenn unbedingt notwendig und entsprechende Excel-Kenntnisse vorhanden sind! Die Gefahr ist groß, dass Formeln irrtümlich gelöscht werden.</t>
  </si>
  <si>
    <t>Zeitguthaben laufendes Monat</t>
  </si>
  <si>
    <t>Url.verbr. Lfd.Jahr</t>
  </si>
  <si>
    <r>
      <t>1.1.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Mittagspause</t>
    </r>
  </si>
  <si>
    <r>
      <t>1.2.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Pause</t>
    </r>
  </si>
  <si>
    <r>
      <t>Pause</t>
    </r>
    <r>
      <rPr>
        <sz val="10"/>
        <rFont val="Arial"/>
        <family val="2"/>
      </rPr>
      <t>: z.B. eine Kaffepause während der Arbeitszeit von 10:30 bis 10:50 (ev. mit einem Besuch) - diese Zeit wird von meiner IstZeit abgezogen</t>
    </r>
  </si>
  <si>
    <r>
      <t>1.3.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Arztbesuch</t>
    </r>
  </si>
  <si>
    <r>
      <t>Arztbesuch</t>
    </r>
    <r>
      <rPr>
        <sz val="10"/>
        <rFont val="Arial"/>
        <family val="2"/>
      </rPr>
      <t>:  9.1.2014 Arzbesuch von 10:30-12:00, Mittagspause, Arbeitsbeginn am Nachmittag um 12:30 in der Spalte „Arzt,etc“ die Dauer des Arztbesuches eintragen</t>
    </r>
  </si>
  <si>
    <r>
      <t xml:space="preserve">Arztbesuch in der Früh bzw. am späten Nachmittag: </t>
    </r>
    <r>
      <rPr>
        <sz val="10"/>
        <rFont val="Arial"/>
        <family val="2"/>
      </rPr>
      <t>Nur Zeiten innerhalb der fiktiven Normalarbeitszeit dürfen als Arztzeit geltend gemacht werden, d.h. bei einer fiktiven Normalarbeitszeit von 7:30-16:00 ab 7:30 (auch wenn der Arzttermin schon um 7:00 beginnt) bzw. bis 16:00. Zeiten davor bzw. danach fallen in die Freizeit.</t>
    </r>
  </si>
  <si>
    <r>
      <t>1.4.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Krankheitstag, Exerzitien, Sonderurlaub usw.</t>
    </r>
  </si>
  <si>
    <t>in der Spalte „Arzt,etc“ meine Tagessollzeit eintragen, und entsprechende Begründung</t>
  </si>
  <si>
    <r>
      <t>1.5.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Urlaub</t>
    </r>
  </si>
  <si>
    <r>
      <t xml:space="preserve">In der </t>
    </r>
    <r>
      <rPr>
        <b/>
        <sz val="10"/>
        <rFont val="Arial"/>
        <family val="2"/>
      </rPr>
      <t>Spalte „Begründung“ beim entsprechenden Tag das Wort Urlaub eintragen</t>
    </r>
    <r>
      <rPr>
        <sz val="10"/>
        <rFont val="Arial"/>
        <family val="2"/>
      </rPr>
      <t xml:space="preserve"> (wichtig: es muss die Schreibweise genau stimmen) (keine Stundeneintragung in der Spalte Arzt etc.!  -  die Zahl meiner verbleibenden Urlaubstage sowie die Stunden  in meiner „Sollzeit gesamt“ werden automatisch aktualisiert)</t>
    </r>
  </si>
  <si>
    <r>
      <t>1.6.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Angeordnete Überstunden</t>
    </r>
  </si>
  <si>
    <r>
      <t xml:space="preserve">in den Spalten kommt/geht ganz normal die </t>
    </r>
    <r>
      <rPr>
        <b/>
        <sz val="10"/>
        <rFont val="Arial"/>
        <family val="2"/>
      </rPr>
      <t>tatsächliche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Arbeitszeit</t>
    </r>
    <r>
      <rPr>
        <sz val="10"/>
        <rFont val="Arial"/>
        <family val="2"/>
      </rPr>
      <t xml:space="preserve"> eintragen,</t>
    </r>
  </si>
  <si>
    <r>
      <t xml:space="preserve">in der </t>
    </r>
    <r>
      <rPr>
        <b/>
        <sz val="10"/>
        <rFont val="Arial"/>
        <family val="2"/>
      </rPr>
      <t>Spalte "Arzt etc" die errechnete zusätzliche Zeit eintragen</t>
    </r>
    <r>
      <rPr>
        <sz val="10"/>
        <rFont val="Arial"/>
        <family val="2"/>
      </rPr>
      <t xml:space="preserve"> (z.B. 3 Überstunden = 1:30 zusätzlich) – diese Zeit wird von meiner „Sollzeit gesamt“ automatisch abgezogen),</t>
    </r>
  </si>
  <si>
    <r>
      <t>1.7.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Geöffneter Gleitzeitrahmen</t>
    </r>
  </si>
  <si>
    <r>
      <t>1.8.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Ganztägiger Zeitausgleich</t>
    </r>
  </si>
  <si>
    <t>Arztbesuch 10:30-12:00</t>
  </si>
  <si>
    <r>
      <t xml:space="preserve">Auf diesem Tabellenblatt bitte alle Zellen ausfüllen, die rot hinterlegt sind </t>
    </r>
    <r>
      <rPr>
        <b/>
        <sz val="9"/>
        <color rgb="FFFF0000"/>
        <rFont val="Arial"/>
        <family val="2"/>
      </rPr>
      <t>(bereits eingegebene Werte sind nur Beispiele und müssen unbedingt überprüft werden!)</t>
    </r>
  </si>
  <si>
    <t>Typ 1: fixe Feiertage</t>
  </si>
  <si>
    <t>Typ 2: von Ostern abhängige Feiertage</t>
  </si>
  <si>
    <t>Typ 3: von Weihnachten abhängige Feiertage</t>
  </si>
  <si>
    <r>
      <rPr>
        <b/>
        <sz val="10"/>
        <rFont val="Arial"/>
        <family val="2"/>
      </rPr>
      <t>Auf welchen Wochentag fällt ein bestimmtes Datum?</t>
    </r>
    <r>
      <rPr>
        <sz val="10"/>
        <rFont val="Arial"/>
        <family val="2"/>
      </rPr>
      <t xml:space="preserve"> Bitte in die Zelle J3 ein beliebiges Datum eingeben (Tipp: einen Monatsersten eingeben, dann wird ganzes Monat dargestellt)</t>
    </r>
  </si>
  <si>
    <t>Die (längere) Mittagspause wird nicht in der Spalte Pause eingetragen, sondern unter kommt/geht (es muss zum Ausdruck kommen, dass bei einer Arbeitszeit von  mehr als 6 Stunden pro Tag eine mindestens 30 bzw. 2x15 minütige Pause eingelegt wird.</t>
  </si>
  <si>
    <t>Das folgende Beispiel bezieht sich auf das Gleitzeitmodell regulär. Die erlaubte Arbeitszeit endet um 20:00. Arbeitszeit darüberhinaus muss ausdrücklich angeordnet werden. Die tatsächliche Arbeitszeit von 20 – 23 Uhr ist in der Kommt/geht-Einheit berücksichtigt, für diese 3 Stunden Arbeitszeit erhalte ich die Hälfte (1:30 – eingetragen in der Spalte Arzt etc.) gutgeschrieben.</t>
  </si>
  <si>
    <t>bei ganztägigem Zeitausgleich funktioniert diese Tabelle nur, wenn in der Spalte Begründung am entsprechenden Tag ZA bzw. Faschingsdienstag ZA (bitte genaue Schreibweise beachten!) eingetragen wird!</t>
  </si>
  <si>
    <t>Arztbesuch 10:00-11:30</t>
  </si>
  <si>
    <t>Faschingsdienstag ZA</t>
  </si>
  <si>
    <t>Faschingsdienstag</t>
  </si>
  <si>
    <r>
      <t>1.9.</t>
    </r>
    <r>
      <rPr>
        <b/>
        <sz val="7"/>
        <color rgb="FF4F81BD"/>
        <rFont val="Times New Roman"/>
        <family val="1"/>
      </rPr>
      <t xml:space="preserve"> </t>
    </r>
    <r>
      <rPr>
        <b/>
        <sz val="13"/>
        <color rgb="FF4F81BD"/>
        <rFont val="Cambria"/>
        <family val="1"/>
      </rPr>
      <t>Ausbezahlte Mehr-/Überstunden  -  nur in Absprache mit dem Dienstgeber möglich!!</t>
    </r>
  </si>
  <si>
    <r>
      <t xml:space="preserve">Eine Zeiteintragung wurde </t>
    </r>
    <r>
      <rPr>
        <b/>
        <sz val="10"/>
        <rFont val="Arial"/>
        <family val="2"/>
      </rPr>
      <t>in eine andere Zelle verschoben</t>
    </r>
    <r>
      <rPr>
        <sz val="10"/>
        <rFont val="Arial"/>
        <family val="2"/>
      </rPr>
      <t xml:space="preserve"> - rückgängig machen (wenn schon gespeichert wurde, dann ist es komplizierter - bitte in der Hilfedatei nachschlagen)</t>
    </r>
  </si>
  <si>
    <r>
      <rPr>
        <b/>
        <sz val="10"/>
        <rFont val="Arial"/>
        <family val="2"/>
      </rPr>
      <t>Zwei häufige Fehler</t>
    </r>
    <r>
      <rPr>
        <sz val="10"/>
        <rFont val="Arial"/>
        <family val="2"/>
      </rPr>
      <t xml:space="preserve">: irrtümlich wurde in einer Zelle ein </t>
    </r>
    <r>
      <rPr>
        <b/>
        <sz val="10"/>
        <rFont val="Arial"/>
        <family val="2"/>
      </rPr>
      <t>Leerzeichen</t>
    </r>
    <r>
      <rPr>
        <sz val="10"/>
        <rFont val="Arial"/>
        <family val="2"/>
      </rPr>
      <t xml:space="preserve"> eingegeben - Leerzeichen wieder entfernen</t>
    </r>
  </si>
  <si>
    <t>Salzburg</t>
  </si>
  <si>
    <t>In welchen Jahren fallen die Tage auf den gleichen Wochentag?</t>
  </si>
  <si>
    <t>(Neujahr und darauffolgender Hl.Abend sind gleicher Wochentag)</t>
  </si>
  <si>
    <t>2017;2023;2034</t>
  </si>
  <si>
    <t>So</t>
  </si>
  <si>
    <t>2018;2029</t>
  </si>
  <si>
    <t>Mo</t>
  </si>
  <si>
    <t>2013;2019;2030</t>
  </si>
  <si>
    <t>Di</t>
  </si>
  <si>
    <t>2014;2025;2031</t>
  </si>
  <si>
    <t>Mi</t>
  </si>
  <si>
    <t>2015;2026</t>
  </si>
  <si>
    <t>Do</t>
  </si>
  <si>
    <t>2021;2027</t>
  </si>
  <si>
    <t>Fr</t>
  </si>
  <si>
    <t>2022;2033</t>
  </si>
  <si>
    <t>Sa</t>
  </si>
  <si>
    <t>Schaltjahre: Neujahr und darauffolgender Hl.Abend sind verschieden</t>
  </si>
  <si>
    <t>Achtung: an arbeitsfreien Tagen (z.B. Samstag/Sonntag) darf das Wort Urlaub nicht stehen)!</t>
  </si>
  <si>
    <t>Hier gibt es Hinweise - bitte mit Doppelklick öffnen:</t>
  </si>
  <si>
    <r>
      <rPr>
        <sz val="18"/>
        <rFont val="Arial"/>
        <family val="2"/>
      </rPr>
      <t xml:space="preserve">Mit einem </t>
    </r>
    <r>
      <rPr>
        <b/>
        <sz val="18"/>
        <rFont val="Arial"/>
        <family val="2"/>
      </rPr>
      <t>Doppelklick</t>
    </r>
    <r>
      <rPr>
        <sz val="18"/>
        <rFont val="Arial"/>
        <family val="2"/>
      </rPr>
      <t xml:space="preserve"> kann man folgendes  Word-Dokument durchblättern und lesen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>Diese Erläuterungen gibt es auch in einem eigenen Button auf dem Tabellenblatt Start</t>
    </r>
  </si>
  <si>
    <r>
      <t>Auf diesem Tabellenblatt finden Sie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Beispiele für Eintragungen</t>
    </r>
    <r>
      <rPr>
        <sz val="10"/>
        <rFont val="Arial"/>
        <family val="2"/>
      </rPr>
      <t xml:space="preserve">. Ausführliche Erläuterungen für die Verwendung und über den Aufbau dieser Zeitaufzeichnungsdatei finden Sie auf dem letzten Tabellenblatt ("Erläuterungen") bzw. auf dem Tabellenblatt "Start": Button "Formeln_Funktionen_Erläuterungen".
</t>
    </r>
    <r>
      <rPr>
        <b/>
        <sz val="14"/>
        <rFont val="Arial"/>
        <family val="2"/>
      </rPr>
      <t>Beginnen Sie Ihre Zeitaufzeichnungen mit den Eintragungen im Tabellblatt "Start". Bitte alle rot hinterlegten Zellen ausfüllen bzw. korrigieren</t>
    </r>
    <r>
      <rPr>
        <sz val="10"/>
        <rFont val="Arial"/>
        <family val="2"/>
      </rPr>
      <t>. Die angegebenen Werte sind lediglich Beispielwerte!</t>
    </r>
  </si>
  <si>
    <t>SOLL-Zeit des laufenden Monats</t>
  </si>
  <si>
    <t>Zeitguthaben des laufenden Monats</t>
  </si>
  <si>
    <t>von Ostern abhängige Feiertage:</t>
  </si>
  <si>
    <t>Pfingsten</t>
  </si>
  <si>
    <t>Faschingdienstag</t>
  </si>
  <si>
    <t>Gleitzeitmodell</t>
  </si>
  <si>
    <t>Montag</t>
  </si>
  <si>
    <t>Dienstag</t>
  </si>
  <si>
    <t>Mittwoch</t>
  </si>
  <si>
    <t xml:space="preserve">Donnerstag </t>
  </si>
  <si>
    <t>Freitag</t>
  </si>
  <si>
    <t>Samstag</t>
  </si>
  <si>
    <t>Sonntag</t>
  </si>
  <si>
    <t>Ruhezeiten</t>
  </si>
  <si>
    <t>Tag hat 24 Stunden</t>
  </si>
  <si>
    <t>Statische Daten zu Ruhezeiten</t>
  </si>
  <si>
    <t>Vortrag aus dem Vormonat</t>
  </si>
  <si>
    <t>Ort</t>
  </si>
  <si>
    <t>Tirol</t>
  </si>
  <si>
    <t>Arbeitsstelle im Bundesland:</t>
  </si>
  <si>
    <t>Modell2</t>
  </si>
  <si>
    <t>Modell3</t>
  </si>
  <si>
    <t>Modell4</t>
  </si>
  <si>
    <t>Modell5</t>
  </si>
  <si>
    <t>Modell6</t>
  </si>
  <si>
    <t>Saldo Urlaub Dezember
 des Vorjahres bzw. des Vormonats</t>
  </si>
  <si>
    <t>Ich arbeite an folgenden Tagen 
(Auswahl mit 1; max fünf Tage auswählen)</t>
  </si>
  <si>
    <r>
      <t xml:space="preserve">Vortrag aus Vormonat 
(im Kommaformat  
[z.B. für 5:30 = </t>
    </r>
    <r>
      <rPr>
        <b/>
        <sz val="10"/>
        <rFont val="Arial"/>
        <family val="2"/>
      </rPr>
      <t>5,50</t>
    </r>
    <r>
      <rPr>
        <sz val="10"/>
        <rFont val="Arial"/>
        <family val="2"/>
      </rPr>
      <t>])</t>
    </r>
  </si>
  <si>
    <t>Vortrag aus Vormonat
(im Format h:mm, z.B. 5:30)</t>
  </si>
  <si>
    <t>Zeitguthaben/Zeitminus vom Vorjahr (bzw. Vormonat): 
 entweder im Kommaformat oder im h:mm-Format eingeben!</t>
  </si>
  <si>
    <t xml:space="preserve">Wenn in der Zelle C29   "#WERT!"  eingeblendet wird, dann ist das Datum falsch eingegeben worden   </t>
  </si>
  <si>
    <t>DBO</t>
  </si>
  <si>
    <t>DBO 1993</t>
  </si>
  <si>
    <t>DBO 2021</t>
  </si>
  <si>
    <t>werden Stunden ausbezahlt</t>
  </si>
  <si>
    <t>ja</t>
  </si>
  <si>
    <t>NN</t>
  </si>
  <si>
    <t>123456</t>
  </si>
  <si>
    <t>Modell1</t>
  </si>
  <si>
    <t>Wenn (am Ende der Gleitzeitperiode, z.B. Ende August) Stunden ausbezahlt werden, dann ist der Betrag in die Zelle L43 einzutragen.</t>
  </si>
  <si>
    <t>Wenn (am Ende der Gleitzeitperiode, z.B. Ende August) auch Stunden ausbezahlt werden, dann ist der Betrag in die Zelle L43 einzutragen.</t>
  </si>
  <si>
    <t>WENN(UND(K10=Hl. Josef; (A10)=6;'Static Data'!$C$25=6);"frei"</t>
  </si>
  <si>
    <t>DIENST</t>
  </si>
  <si>
    <t>Bitte hier keine Änderung vornehmen!</t>
  </si>
  <si>
    <t>(Faschingsdienstag)</t>
  </si>
  <si>
    <t>(Aschermittwoch)</t>
  </si>
  <si>
    <t>(Hl. Josef)</t>
  </si>
  <si>
    <t>(Gründonnerstag)</t>
  </si>
  <si>
    <t>(Karfreitag)</t>
  </si>
  <si>
    <t>(Pfingstdienstag)</t>
  </si>
  <si>
    <t>(Hl. Rupert)</t>
  </si>
  <si>
    <t>(Allerseelen)</t>
  </si>
  <si>
    <t>(Hl.Abend)</t>
  </si>
  <si>
    <t>(Silvester)</t>
  </si>
  <si>
    <t>Diese Datei bitte nur für pfarrlich angestellte Mitarbeiter*innen verwenden, die nicht an die DBO der Diözese angelehnt sind! Z.B. Mesner*innen, Reinigungskräfte, Hausbetreuer*innen</t>
  </si>
  <si>
    <t>Bei Rückfragen wenden Sie sich bitte an das Personalreferat: Michaela Graßmann (0662/8047-1607)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</si>
</sst>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h:mm"/>
    <numFmt numFmtId="165" formatCode="d/\ mmm\ yy"/>
    <numFmt numFmtId="166" formatCode="[h]:mm"/>
    <numFmt numFmtId="167" formatCode="[Red][h]:mm;&quot;&quot;"/>
    <numFmt numFmtId="168" formatCode="ddd\,\ dd/\ mmm\ yyyy;@"/>
    <numFmt numFmtId="169" formatCode="0.0"/>
    <numFmt numFmtId="170" formatCode="mmmm\ yyyy"/>
    <numFmt numFmtId="171" formatCode="yyyy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24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3"/>
      <name val="Arial"/>
      <family val="2"/>
    </font>
    <font>
      <sz val="11"/>
      <name val="Calibri"/>
      <family val="2"/>
    </font>
    <font>
      <b/>
      <sz val="13"/>
      <color rgb="FF4F81BD"/>
      <name val="Cambria"/>
      <family val="1"/>
    </font>
    <font>
      <b/>
      <sz val="7"/>
      <color rgb="FF4F81BD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9"/>
      <name val="Verdana"/>
      <family val="2"/>
    </font>
    <font>
      <sz val="16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46">
    <xf numFmtId="0" fontId="0" fillId="0" borderId="0" xfId="0"/>
    <xf numFmtId="168" fontId="11" fillId="0" borderId="1" xfId="0" applyNumberFormat="1" applyFont="1" applyFill="1" applyBorder="1" applyAlignment="1" applyProtection="1">
      <alignment vertical="center"/>
    </xf>
    <xf numFmtId="166" fontId="4" fillId="0" borderId="4" xfId="0" applyNumberFormat="1" applyFont="1" applyFill="1" applyBorder="1" applyAlignment="1" applyProtection="1">
      <alignment horizontal="center" vertical="center"/>
      <protection locked="0"/>
    </xf>
    <xf numFmtId="166" fontId="2" fillId="0" borderId="33" xfId="0" applyNumberFormat="1" applyFont="1" applyFill="1" applyBorder="1" applyAlignment="1" applyProtection="1">
      <alignment horizontal="right" vertical="center"/>
    </xf>
    <xf numFmtId="166" fontId="4" fillId="0" borderId="1" xfId="0" applyNumberFormat="1" applyFont="1" applyFill="1" applyBorder="1" applyAlignment="1" applyProtection="1">
      <protection locked="0"/>
    </xf>
    <xf numFmtId="166" fontId="4" fillId="0" borderId="1" xfId="0" applyNumberFormat="1" applyFont="1" applyFill="1" applyBorder="1" applyProtection="1">
      <protection locked="0"/>
    </xf>
    <xf numFmtId="0" fontId="1" fillId="0" borderId="35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36" xfId="0" applyFont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 textRotation="90"/>
    </xf>
    <xf numFmtId="0" fontId="9" fillId="2" borderId="12" xfId="0" applyFont="1" applyFill="1" applyBorder="1" applyAlignment="1" applyProtection="1">
      <alignment horizontal="center" vertical="center" textRotation="90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textRotation="90" wrapText="1"/>
    </xf>
    <xf numFmtId="0" fontId="10" fillId="2" borderId="1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66" fontId="4" fillId="6" borderId="1" xfId="0" applyNumberFormat="1" applyFont="1" applyFill="1" applyBorder="1" applyAlignment="1" applyProtection="1">
      <alignment horizontal="right" vertical="center"/>
    </xf>
    <xf numFmtId="166" fontId="4" fillId="6" borderId="1" xfId="0" applyNumberFormat="1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vertical="center"/>
    </xf>
    <xf numFmtId="2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0" xfId="0" applyFont="1" applyFill="1" applyBorder="1" applyProtection="1"/>
    <xf numFmtId="0" fontId="1" fillId="8" borderId="0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14" fillId="0" borderId="0" xfId="0" applyFont="1" applyProtection="1"/>
    <xf numFmtId="0" fontId="1" fillId="0" borderId="0" xfId="0" applyFont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right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0" fontId="1" fillId="8" borderId="0" xfId="0" applyFont="1" applyFill="1" applyProtection="1"/>
    <xf numFmtId="2" fontId="1" fillId="0" borderId="0" xfId="0" applyNumberFormat="1" applyFont="1" applyFill="1" applyBorder="1" applyProtection="1"/>
    <xf numFmtId="166" fontId="1" fillId="0" borderId="0" xfId="0" applyNumberFormat="1" applyFont="1" applyFill="1" applyBorder="1" applyAlignment="1" applyProtection="1">
      <alignment horizontal="right" vertical="center"/>
    </xf>
    <xf numFmtId="20" fontId="1" fillId="0" borderId="0" xfId="0" applyNumberFormat="1" applyFont="1" applyProtection="1"/>
    <xf numFmtId="20" fontId="1" fillId="8" borderId="0" xfId="0" applyNumberFormat="1" applyFont="1" applyFill="1" applyProtection="1"/>
    <xf numFmtId="2" fontId="1" fillId="8" borderId="0" xfId="0" applyNumberFormat="1" applyFont="1" applyFill="1" applyProtection="1"/>
    <xf numFmtId="0" fontId="15" fillId="6" borderId="0" xfId="0" applyFont="1" applyFill="1" applyProtection="1"/>
    <xf numFmtId="0" fontId="1" fillId="6" borderId="0" xfId="0" applyFont="1" applyFill="1" applyProtection="1"/>
    <xf numFmtId="0" fontId="2" fillId="9" borderId="48" xfId="1" applyFont="1" applyFill="1" applyBorder="1" applyAlignment="1" applyProtection="1">
      <alignment horizontal="center" vertical="center" wrapText="1"/>
    </xf>
    <xf numFmtId="168" fontId="1" fillId="0" borderId="0" xfId="1" applyNumberFormat="1" applyFont="1" applyBorder="1" applyProtection="1"/>
    <xf numFmtId="14" fontId="17" fillId="0" borderId="0" xfId="1" applyNumberFormat="1" applyFont="1" applyBorder="1" applyProtection="1"/>
    <xf numFmtId="0" fontId="1" fillId="0" borderId="23" xfId="1" applyFont="1" applyBorder="1" applyAlignment="1" applyProtection="1">
      <alignment vertical="center" wrapText="1"/>
    </xf>
    <xf numFmtId="168" fontId="1" fillId="0" borderId="1" xfId="1" applyNumberFormat="1" applyFont="1" applyBorder="1" applyAlignment="1" applyProtection="1">
      <alignment vertical="center" wrapText="1"/>
    </xf>
    <xf numFmtId="1" fontId="1" fillId="0" borderId="1" xfId="1" applyNumberFormat="1" applyFont="1" applyBorder="1" applyAlignment="1" applyProtection="1">
      <alignment vertical="center" wrapText="1"/>
    </xf>
    <xf numFmtId="0" fontId="1" fillId="0" borderId="4" xfId="1" applyBorder="1" applyProtection="1"/>
    <xf numFmtId="0" fontId="1" fillId="0" borderId="23" xfId="1" applyFont="1" applyFill="1" applyBorder="1" applyAlignment="1" applyProtection="1">
      <alignment vertical="center" wrapText="1"/>
    </xf>
    <xf numFmtId="0" fontId="1" fillId="0" borderId="29" xfId="1" applyFont="1" applyBorder="1" applyAlignment="1" applyProtection="1">
      <alignment vertical="center" wrapText="1"/>
    </xf>
    <xf numFmtId="168" fontId="1" fillId="0" borderId="16" xfId="1" applyNumberFormat="1" applyFont="1" applyBorder="1" applyAlignment="1" applyProtection="1">
      <alignment vertical="center" wrapText="1"/>
    </xf>
    <xf numFmtId="1" fontId="1" fillId="0" borderId="16" xfId="1" applyNumberFormat="1" applyFont="1" applyBorder="1" applyAlignment="1" applyProtection="1">
      <alignment vertical="center" wrapText="1"/>
    </xf>
    <xf numFmtId="0" fontId="1" fillId="0" borderId="41" xfId="1" applyBorder="1" applyProtection="1"/>
    <xf numFmtId="0" fontId="0" fillId="0" borderId="23" xfId="1" applyFont="1" applyBorder="1" applyAlignment="1" applyProtection="1">
      <alignment vertical="center" wrapText="1"/>
    </xf>
    <xf numFmtId="1" fontId="0" fillId="0" borderId="1" xfId="1" applyNumberFormat="1" applyFont="1" applyBorder="1" applyAlignment="1" applyProtection="1">
      <alignment vertical="center" wrapText="1"/>
    </xf>
    <xf numFmtId="0" fontId="1" fillId="0" borderId="4" xfId="1" applyBorder="1" applyAlignment="1" applyProtection="1">
      <alignment vertical="center"/>
    </xf>
    <xf numFmtId="0" fontId="1" fillId="0" borderId="23" xfId="1" applyFont="1" applyBorder="1" applyAlignment="1" applyProtection="1">
      <alignment vertical="center"/>
    </xf>
    <xf numFmtId="168" fontId="1" fillId="0" borderId="1" xfId="1" applyNumberFormat="1" applyBorder="1" applyAlignment="1" applyProtection="1">
      <alignment vertical="center"/>
    </xf>
    <xf numFmtId="1" fontId="1" fillId="0" borderId="1" xfId="1" applyNumberFormat="1" applyBorder="1" applyAlignment="1" applyProtection="1">
      <alignment vertical="center"/>
    </xf>
    <xf numFmtId="0" fontId="1" fillId="0" borderId="4" xfId="1" applyFont="1" applyBorder="1" applyAlignment="1" applyProtection="1">
      <alignment vertical="center"/>
    </xf>
    <xf numFmtId="0" fontId="1" fillId="0" borderId="23" xfId="1" applyFont="1" applyFill="1" applyBorder="1" applyAlignment="1" applyProtection="1">
      <alignment vertical="center"/>
    </xf>
    <xf numFmtId="168" fontId="17" fillId="0" borderId="1" xfId="1" applyNumberFormat="1" applyFont="1" applyBorder="1" applyAlignment="1" applyProtection="1">
      <alignment vertical="center"/>
    </xf>
    <xf numFmtId="1" fontId="17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68" fontId="18" fillId="10" borderId="1" xfId="1" applyNumberFormat="1" applyFont="1" applyFill="1" applyBorder="1" applyAlignment="1" applyProtection="1">
      <alignment vertical="center" wrapText="1"/>
    </xf>
    <xf numFmtId="2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1" fillId="0" borderId="0" xfId="0" applyFont="1" applyFill="1" applyProtection="1"/>
    <xf numFmtId="2" fontId="1" fillId="0" borderId="1" xfId="0" applyNumberFormat="1" applyFont="1" applyFill="1" applyBorder="1" applyAlignment="1" applyProtection="1">
      <alignment wrapText="1"/>
    </xf>
    <xf numFmtId="0" fontId="1" fillId="0" borderId="26" xfId="0" applyFont="1" applyBorder="1" applyAlignment="1" applyProtection="1">
      <alignment vertical="center"/>
      <protection locked="0"/>
    </xf>
    <xf numFmtId="2" fontId="2" fillId="0" borderId="5" xfId="0" applyNumberFormat="1" applyFont="1" applyFill="1" applyBorder="1" applyAlignment="1" applyProtection="1">
      <alignment horizontal="right" vertical="center"/>
    </xf>
    <xf numFmtId="166" fontId="2" fillId="0" borderId="1" xfId="0" applyNumberFormat="1" applyFont="1" applyFill="1" applyBorder="1" applyAlignment="1" applyProtection="1">
      <alignment horizontal="right" vertical="center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7" borderId="1" xfId="0" applyNumberFormat="1" applyFont="1" applyFill="1" applyBorder="1" applyAlignment="1" applyProtection="1">
      <alignment horizontal="right" vertical="center"/>
    </xf>
    <xf numFmtId="166" fontId="1" fillId="0" borderId="26" xfId="0" applyNumberFormat="1" applyFont="1" applyBorder="1" applyAlignment="1" applyProtection="1">
      <alignment vertical="center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2" fillId="0" borderId="0" xfId="0" applyFont="1" applyProtection="1"/>
    <xf numFmtId="2" fontId="2" fillId="0" borderId="1" xfId="0" applyNumberFormat="1" applyFont="1" applyFill="1" applyBorder="1" applyProtection="1"/>
    <xf numFmtId="2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20" fontId="1" fillId="0" borderId="0" xfId="0" applyNumberFormat="1" applyFont="1" applyBorder="1" applyProtection="1"/>
    <xf numFmtId="2" fontId="2" fillId="0" borderId="5" xfId="0" applyNumberFormat="1" applyFont="1" applyFill="1" applyBorder="1" applyAlignment="1" applyProtection="1">
      <alignment horizontal="right"/>
    </xf>
    <xf numFmtId="2" fontId="1" fillId="0" borderId="1" xfId="0" applyNumberFormat="1" applyFont="1" applyBorder="1" applyProtection="1"/>
    <xf numFmtId="2" fontId="20" fillId="0" borderId="1" xfId="0" applyNumberFormat="1" applyFont="1" applyFill="1" applyBorder="1" applyProtection="1"/>
    <xf numFmtId="16" fontId="1" fillId="0" borderId="53" xfId="0" applyNumberFormat="1" applyFont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1" fontId="1" fillId="0" borderId="55" xfId="0" applyNumberFormat="1" applyFont="1" applyBorder="1" applyAlignment="1" applyProtection="1">
      <alignment horizontal="center" vertical="center"/>
    </xf>
    <xf numFmtId="0" fontId="1" fillId="0" borderId="56" xfId="0" applyFont="1" applyBorder="1" applyProtection="1"/>
    <xf numFmtId="0" fontId="1" fillId="0" borderId="53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1" fontId="2" fillId="0" borderId="58" xfId="0" applyNumberFormat="1" applyFont="1" applyBorder="1" applyAlignment="1" applyProtection="1">
      <alignment horizontal="center" vertical="center"/>
    </xf>
    <xf numFmtId="166" fontId="2" fillId="0" borderId="66" xfId="0" applyNumberFormat="1" applyFont="1" applyFill="1" applyBorder="1" applyAlignment="1" applyProtection="1">
      <alignment horizontal="right" vertical="center"/>
    </xf>
    <xf numFmtId="168" fontId="11" fillId="0" borderId="56" xfId="0" applyNumberFormat="1" applyFont="1" applyFill="1" applyBorder="1" applyAlignment="1" applyProtection="1">
      <alignment vertical="center"/>
    </xf>
    <xf numFmtId="168" fontId="11" fillId="7" borderId="56" xfId="0" applyNumberFormat="1" applyFont="1" applyFill="1" applyBorder="1" applyAlignment="1" applyProtection="1">
      <alignment vertical="center"/>
    </xf>
    <xf numFmtId="166" fontId="2" fillId="7" borderId="67" xfId="0" applyNumberFormat="1" applyFont="1" applyFill="1" applyBorder="1" applyAlignment="1" applyProtection="1">
      <alignment horizontal="right" vertical="center"/>
    </xf>
    <xf numFmtId="166" fontId="2" fillId="0" borderId="66" xfId="0" applyNumberFormat="1" applyFont="1" applyFill="1" applyBorder="1" applyProtection="1"/>
    <xf numFmtId="2" fontId="2" fillId="0" borderId="50" xfId="0" applyNumberFormat="1" applyFont="1" applyFill="1" applyBorder="1" applyAlignment="1" applyProtection="1">
      <alignment horizontal="right" vertical="center"/>
    </xf>
    <xf numFmtId="0" fontId="1" fillId="0" borderId="62" xfId="0" applyFont="1" applyBorder="1" applyAlignment="1" applyProtection="1">
      <alignment horizontal="center" vertical="center"/>
    </xf>
    <xf numFmtId="169" fontId="1" fillId="0" borderId="26" xfId="0" applyNumberFormat="1" applyFont="1" applyBorder="1" applyAlignment="1" applyProtection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11" borderId="70" xfId="0" applyFont="1" applyFill="1" applyBorder="1" applyAlignment="1">
      <alignment horizontal="right" vertical="center"/>
    </xf>
    <xf numFmtId="20" fontId="1" fillId="8" borderId="71" xfId="0" applyNumberFormat="1" applyFont="1" applyFill="1" applyBorder="1" applyAlignment="1">
      <alignment horizontal="right" vertical="center"/>
    </xf>
    <xf numFmtId="0" fontId="1" fillId="0" borderId="71" xfId="0" applyFont="1" applyBorder="1" applyAlignment="1">
      <alignment horizontal="right" vertical="center"/>
    </xf>
    <xf numFmtId="20" fontId="2" fillId="0" borderId="71" xfId="0" applyNumberFormat="1" applyFont="1" applyBorder="1" applyAlignment="1">
      <alignment horizontal="right" vertical="center"/>
    </xf>
    <xf numFmtId="0" fontId="1" fillId="0" borderId="71" xfId="0" applyFont="1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8" borderId="71" xfId="0" applyFont="1" applyFill="1" applyBorder="1" applyAlignment="1">
      <alignment vertical="center"/>
    </xf>
    <xf numFmtId="0" fontId="2" fillId="0" borderId="71" xfId="0" applyFont="1" applyBorder="1" applyAlignment="1">
      <alignment horizontal="right" vertical="center"/>
    </xf>
    <xf numFmtId="0" fontId="1" fillId="8" borderId="7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indent="3"/>
    </xf>
    <xf numFmtId="0" fontId="21" fillId="0" borderId="0" xfId="0" applyFont="1" applyAlignment="1">
      <alignment vertical="center" wrapText="1"/>
    </xf>
    <xf numFmtId="20" fontId="1" fillId="0" borderId="71" xfId="0" applyNumberFormat="1" applyFont="1" applyBorder="1" applyAlignment="1">
      <alignment horizontal="right" vertical="center"/>
    </xf>
    <xf numFmtId="0" fontId="21" fillId="0" borderId="48" xfId="0" applyFont="1" applyBorder="1" applyAlignment="1"/>
    <xf numFmtId="0" fontId="1" fillId="11" borderId="68" xfId="0" applyFont="1" applyFill="1" applyBorder="1" applyAlignment="1">
      <alignment vertical="center"/>
    </xf>
    <xf numFmtId="20" fontId="1" fillId="0" borderId="68" xfId="0" applyNumberFormat="1" applyFont="1" applyBorder="1" applyAlignment="1">
      <alignment vertical="center"/>
    </xf>
    <xf numFmtId="20" fontId="2" fillId="0" borderId="68" xfId="0" applyNumberFormat="1" applyFont="1" applyBorder="1" applyAlignment="1">
      <alignment vertical="center"/>
    </xf>
    <xf numFmtId="20" fontId="1" fillId="8" borderId="68" xfId="0" applyNumberFormat="1" applyFont="1" applyFill="1" applyBorder="1" applyAlignment="1">
      <alignment vertical="center"/>
    </xf>
    <xf numFmtId="0" fontId="1" fillId="8" borderId="68" xfId="0" applyFont="1" applyFill="1" applyBorder="1" applyAlignment="1">
      <alignment vertical="center" wrapText="1"/>
    </xf>
    <xf numFmtId="0" fontId="21" fillId="0" borderId="0" xfId="0" applyFont="1" applyBorder="1"/>
    <xf numFmtId="0" fontId="1" fillId="0" borderId="0" xfId="0" applyFont="1" applyBorder="1" applyAlignment="1">
      <alignment vertical="center"/>
    </xf>
    <xf numFmtId="0" fontId="1" fillId="11" borderId="68" xfId="0" applyFont="1" applyFill="1" applyBorder="1" applyAlignment="1">
      <alignment horizontal="right" vertical="center"/>
    </xf>
    <xf numFmtId="168" fontId="11" fillId="12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" fillId="0" borderId="0" xfId="0" applyFont="1"/>
    <xf numFmtId="166" fontId="2" fillId="7" borderId="66" xfId="0" applyNumberFormat="1" applyFont="1" applyFill="1" applyBorder="1" applyAlignment="1" applyProtection="1">
      <alignment horizontal="right" vertical="center"/>
    </xf>
    <xf numFmtId="1" fontId="1" fillId="0" borderId="74" xfId="0" applyNumberFormat="1" applyFont="1" applyBorder="1" applyAlignment="1" applyProtection="1">
      <alignment horizontal="center" vertical="center"/>
    </xf>
    <xf numFmtId="1" fontId="2" fillId="0" borderId="77" xfId="0" applyNumberFormat="1" applyFont="1" applyBorder="1" applyAlignment="1" applyProtection="1">
      <alignment horizontal="center" vertical="center"/>
    </xf>
    <xf numFmtId="1" fontId="1" fillId="0" borderId="78" xfId="0" applyNumberFormat="1" applyFont="1" applyBorder="1" applyAlignment="1" applyProtection="1">
      <alignment horizontal="center" vertical="center"/>
    </xf>
    <xf numFmtId="166" fontId="4" fillId="0" borderId="16" xfId="0" applyNumberFormat="1" applyFont="1" applyFill="1" applyBorder="1" applyAlignment="1" applyProtection="1">
      <alignment horizontal="right" vertical="center"/>
      <protection locked="0"/>
    </xf>
    <xf numFmtId="166" fontId="2" fillId="0" borderId="16" xfId="0" applyNumberFormat="1" applyFont="1" applyFill="1" applyBorder="1" applyAlignment="1" applyProtection="1">
      <alignment horizontal="right" vertical="center"/>
    </xf>
    <xf numFmtId="0" fontId="4" fillId="0" borderId="81" xfId="0" applyFont="1" applyFill="1" applyBorder="1" applyAlignment="1" applyProtection="1">
      <alignment vertical="center" wrapText="1"/>
      <protection locked="0"/>
    </xf>
    <xf numFmtId="2" fontId="2" fillId="0" borderId="84" xfId="0" applyNumberFormat="1" applyFont="1" applyFill="1" applyBorder="1" applyAlignment="1" applyProtection="1">
      <alignment horizontal="right" vertical="center"/>
    </xf>
    <xf numFmtId="167" fontId="9" fillId="0" borderId="85" xfId="0" applyNumberFormat="1" applyFont="1" applyFill="1" applyBorder="1" applyAlignment="1" applyProtection="1">
      <alignment horizontal="right" vertical="center"/>
      <protection locked="0"/>
    </xf>
    <xf numFmtId="2" fontId="2" fillId="0" borderId="86" xfId="0" applyNumberFormat="1" applyFont="1" applyBorder="1" applyProtection="1"/>
    <xf numFmtId="2" fontId="2" fillId="0" borderId="11" xfId="0" applyNumberFormat="1" applyFont="1" applyBorder="1" applyProtection="1"/>
    <xf numFmtId="167" fontId="9" fillId="0" borderId="90" xfId="0" applyNumberFormat="1" applyFont="1" applyFill="1" applyBorder="1" applyAlignment="1" applyProtection="1">
      <alignment horizontal="right" vertical="center"/>
      <protection locked="0"/>
    </xf>
    <xf numFmtId="2" fontId="2" fillId="0" borderId="93" xfId="0" applyNumberFormat="1" applyFont="1" applyFill="1" applyBorder="1" applyAlignment="1" applyProtection="1">
      <alignment horizontal="right" vertical="center"/>
    </xf>
    <xf numFmtId="167" fontId="9" fillId="0" borderId="9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2" fontId="2" fillId="0" borderId="61" xfId="0" applyNumberFormat="1" applyFont="1" applyFill="1" applyBorder="1" applyAlignment="1" applyProtection="1">
      <alignment horizontal="right" vertical="center"/>
    </xf>
    <xf numFmtId="0" fontId="7" fillId="0" borderId="98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vertical="center"/>
    </xf>
    <xf numFmtId="0" fontId="7" fillId="0" borderId="75" xfId="0" applyFont="1" applyFill="1" applyBorder="1" applyAlignment="1" applyProtection="1">
      <alignment vertical="center" wrapText="1"/>
    </xf>
    <xf numFmtId="0" fontId="1" fillId="0" borderId="99" xfId="0" applyFont="1" applyBorder="1" applyProtection="1">
      <protection locked="0"/>
    </xf>
    <xf numFmtId="0" fontId="7" fillId="0" borderId="10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64" fontId="7" fillId="4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101" xfId="0" applyNumberFormat="1" applyFont="1" applyFill="1" applyBorder="1" applyAlignment="1" applyProtection="1">
      <alignment horizontal="right" vertical="center"/>
    </xf>
    <xf numFmtId="2" fontId="7" fillId="0" borderId="53" xfId="0" applyNumberFormat="1" applyFont="1" applyFill="1" applyBorder="1" applyAlignment="1" applyProtection="1">
      <alignment horizontal="right" vertical="center"/>
    </xf>
    <xf numFmtId="2" fontId="7" fillId="0" borderId="95" xfId="0" applyNumberFormat="1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/>
    </xf>
    <xf numFmtId="0" fontId="1" fillId="0" borderId="98" xfId="0" applyFont="1" applyFill="1" applyBorder="1" applyAlignment="1" applyProtection="1">
      <alignment vertical="center"/>
    </xf>
    <xf numFmtId="2" fontId="1" fillId="0" borderId="101" xfId="0" applyNumberFormat="1" applyFont="1" applyFill="1" applyBorder="1" applyAlignment="1" applyProtection="1">
      <alignment horizontal="right" vertical="center"/>
    </xf>
    <xf numFmtId="0" fontId="1" fillId="0" borderId="75" xfId="0" applyFont="1" applyFill="1" applyBorder="1" applyAlignment="1" applyProtection="1">
      <alignment vertical="center"/>
    </xf>
    <xf numFmtId="2" fontId="1" fillId="8" borderId="53" xfId="0" applyNumberFormat="1" applyFont="1" applyFill="1" applyBorder="1" applyAlignment="1" applyProtection="1">
      <alignment horizontal="right" vertical="center"/>
      <protection locked="0"/>
    </xf>
    <xf numFmtId="0" fontId="1" fillId="0" borderId="75" xfId="0" applyFont="1" applyFill="1" applyBorder="1" applyAlignment="1" applyProtection="1">
      <alignment vertical="center" wrapText="1"/>
    </xf>
    <xf numFmtId="2" fontId="1" fillId="0" borderId="53" xfId="0" applyNumberFormat="1" applyFont="1" applyFill="1" applyBorder="1" applyAlignment="1" applyProtection="1">
      <alignment horizontal="right" vertical="center"/>
    </xf>
    <xf numFmtId="0" fontId="1" fillId="0" borderId="100" xfId="0" applyFont="1" applyFill="1" applyBorder="1" applyAlignment="1" applyProtection="1">
      <alignment vertical="center"/>
    </xf>
    <xf numFmtId="2" fontId="1" fillId="0" borderId="95" xfId="0" applyNumberFormat="1" applyFont="1" applyFill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165" fontId="12" fillId="0" borderId="24" xfId="0" applyNumberFormat="1" applyFont="1" applyBorder="1" applyAlignment="1" applyProtection="1">
      <alignment horizontal="center" vertical="center"/>
      <protection locked="0"/>
    </xf>
    <xf numFmtId="165" fontId="12" fillId="0" borderId="21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/>
      <protection locked="0"/>
    </xf>
    <xf numFmtId="14" fontId="26" fillId="0" borderId="0" xfId="0" applyNumberFormat="1" applyFont="1" applyProtection="1"/>
    <xf numFmtId="0" fontId="1" fillId="0" borderId="10" xfId="0" applyFont="1" applyBorder="1" applyAlignment="1" applyProtection="1">
      <alignment vertical="center"/>
    </xf>
    <xf numFmtId="0" fontId="1" fillId="0" borderId="0" xfId="0" applyNumberFormat="1" applyFont="1" applyProtection="1"/>
    <xf numFmtId="0" fontId="1" fillId="0" borderId="31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29" xfId="0" applyFont="1" applyBorder="1" applyProtection="1"/>
    <xf numFmtId="0" fontId="7" fillId="0" borderId="16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/>
    </xf>
    <xf numFmtId="49" fontId="3" fillId="0" borderId="41" xfId="0" applyNumberFormat="1" applyFont="1" applyBorder="1" applyAlignment="1" applyProtection="1">
      <alignment horizontal="left" vertical="center"/>
    </xf>
    <xf numFmtId="0" fontId="11" fillId="0" borderId="73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</xf>
    <xf numFmtId="0" fontId="11" fillId="0" borderId="75" xfId="0" applyFont="1" applyBorder="1" applyAlignment="1" applyProtection="1">
      <alignment vertical="center" wrapText="1"/>
    </xf>
    <xf numFmtId="0" fontId="26" fillId="0" borderId="0" xfId="0" applyFont="1" applyProtection="1"/>
    <xf numFmtId="0" fontId="1" fillId="0" borderId="28" xfId="0" applyFont="1" applyBorder="1" applyAlignment="1" applyProtection="1">
      <alignment vertical="center"/>
    </xf>
    <xf numFmtId="0" fontId="11" fillId="0" borderId="76" xfId="0" applyFont="1" applyBorder="1" applyAlignment="1" applyProtection="1">
      <alignment horizontal="left" vertical="center" wrapText="1"/>
    </xf>
    <xf numFmtId="0" fontId="1" fillId="0" borderId="79" xfId="0" applyFont="1" applyBorder="1" applyProtection="1"/>
    <xf numFmtId="0" fontId="3" fillId="2" borderId="72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 textRotation="90"/>
    </xf>
    <xf numFmtId="0" fontId="9" fillId="2" borderId="49" xfId="0" applyFont="1" applyFill="1" applyBorder="1" applyAlignment="1" applyProtection="1">
      <alignment horizontal="center" vertical="center" textRotation="90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textRotation="90" wrapText="1"/>
    </xf>
    <xf numFmtId="0" fontId="10" fillId="2" borderId="5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0" fontId="19" fillId="0" borderId="0" xfId="0" applyFont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49" fontId="3" fillId="0" borderId="16" xfId="0" applyNumberFormat="1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vertical="center"/>
    </xf>
    <xf numFmtId="0" fontId="11" fillId="0" borderId="45" xfId="0" applyFont="1" applyBorder="1" applyAlignment="1" applyProtection="1">
      <alignment horizontal="left" vertical="center"/>
    </xf>
    <xf numFmtId="0" fontId="1" fillId="0" borderId="64" xfId="0" applyFont="1" applyBorder="1" applyProtection="1"/>
    <xf numFmtId="0" fontId="3" fillId="2" borderId="65" xfId="0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/>
    <xf numFmtId="166" fontId="4" fillId="0" borderId="1" xfId="0" applyNumberFormat="1" applyFont="1" applyFill="1" applyBorder="1" applyAlignment="1" applyProtection="1">
      <alignment horizontal="right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166" fontId="4" fillId="0" borderId="16" xfId="0" applyNumberFormat="1" applyFont="1" applyFill="1" applyBorder="1" applyAlignment="1" applyProtection="1">
      <alignment horizontal="center" vertical="center"/>
    </xf>
    <xf numFmtId="166" fontId="4" fillId="7" borderId="2" xfId="0" applyNumberFormat="1" applyFont="1" applyFill="1" applyBorder="1" applyAlignment="1" applyProtection="1">
      <alignment horizontal="right" vertical="center"/>
    </xf>
    <xf numFmtId="166" fontId="4" fillId="7" borderId="2" xfId="0" applyNumberFormat="1" applyFont="1" applyFill="1" applyBorder="1" applyAlignment="1" applyProtection="1">
      <alignment horizontal="center" vertical="center"/>
    </xf>
    <xf numFmtId="0" fontId="4" fillId="7" borderId="34" xfId="0" applyFont="1" applyFill="1" applyBorder="1" applyAlignment="1" applyProtection="1">
      <alignment vertical="center" wrapText="1"/>
    </xf>
    <xf numFmtId="164" fontId="4" fillId="4" borderId="26" xfId="0" applyNumberFormat="1" applyFont="1" applyFill="1" applyBorder="1" applyAlignment="1" applyProtection="1">
      <alignment horizontal="center"/>
    </xf>
    <xf numFmtId="166" fontId="9" fillId="0" borderId="32" xfId="0" applyNumberFormat="1" applyFont="1" applyFill="1" applyBorder="1" applyAlignment="1" applyProtection="1">
      <alignment horizontal="center"/>
    </xf>
    <xf numFmtId="167" fontId="9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vertical="center"/>
    </xf>
    <xf numFmtId="164" fontId="2" fillId="0" borderId="50" xfId="0" applyNumberFormat="1" applyFont="1" applyFill="1" applyBorder="1" applyAlignment="1" applyProtection="1">
      <alignment horizontal="right" vertical="center"/>
    </xf>
    <xf numFmtId="167" fontId="9" fillId="0" borderId="37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right" vertical="center"/>
      <protection locked="0"/>
    </xf>
    <xf numFmtId="2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/>
    <xf numFmtId="0" fontId="1" fillId="0" borderId="0" xfId="0" applyFont="1" applyFill="1" applyBorder="1" applyAlignment="1" applyProtection="1">
      <alignment horizontal="center" wrapText="1"/>
    </xf>
    <xf numFmtId="0" fontId="1" fillId="0" borderId="104" xfId="0" applyFont="1" applyBorder="1" applyAlignment="1" applyProtection="1">
      <alignment vertical="center"/>
    </xf>
    <xf numFmtId="0" fontId="1" fillId="0" borderId="105" xfId="0" applyFont="1" applyBorder="1" applyAlignment="1" applyProtection="1">
      <alignment vertical="center"/>
    </xf>
    <xf numFmtId="0" fontId="1" fillId="0" borderId="70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1" xfId="0" applyFont="1" applyBorder="1" applyProtection="1"/>
    <xf numFmtId="0" fontId="3" fillId="0" borderId="21" xfId="0" applyFont="1" applyFill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7" fillId="0" borderId="106" xfId="0" applyFont="1" applyBorder="1" applyAlignment="1" applyProtection="1">
      <alignment horizontal="left" vertical="center" wrapText="1"/>
    </xf>
    <xf numFmtId="0" fontId="14" fillId="0" borderId="28" xfId="0" applyFont="1" applyBorder="1" applyAlignment="1" applyProtection="1">
      <alignment vertical="center"/>
    </xf>
    <xf numFmtId="49" fontId="28" fillId="0" borderId="10" xfId="0" applyNumberFormat="1" applyFont="1" applyBorder="1" applyAlignment="1" applyProtection="1">
      <alignment vertical="center"/>
    </xf>
    <xf numFmtId="20" fontId="0" fillId="0" borderId="97" xfId="0" applyNumberFormat="1" applyBorder="1"/>
    <xf numFmtId="0" fontId="1" fillId="0" borderId="42" xfId="0" applyFont="1" applyBorder="1"/>
    <xf numFmtId="166" fontId="0" fillId="0" borderId="47" xfId="0" applyNumberFormat="1" applyBorder="1"/>
    <xf numFmtId="0" fontId="1" fillId="0" borderId="46" xfId="0" applyFont="1" applyBorder="1"/>
    <xf numFmtId="0" fontId="0" fillId="0" borderId="29" xfId="0" applyBorder="1"/>
    <xf numFmtId="0" fontId="1" fillId="0" borderId="41" xfId="0" applyFont="1" applyBorder="1"/>
    <xf numFmtId="166" fontId="2" fillId="0" borderId="1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wrapText="1"/>
    </xf>
    <xf numFmtId="2" fontId="20" fillId="0" borderId="0" xfId="0" applyNumberFormat="1" applyFont="1" applyFill="1" applyBorder="1" applyProtection="1"/>
    <xf numFmtId="2" fontId="2" fillId="0" borderId="1" xfId="0" applyNumberFormat="1" applyFont="1" applyBorder="1" applyAlignment="1">
      <alignment horizontal="right" vertical="center"/>
    </xf>
    <xf numFmtId="0" fontId="8" fillId="2" borderId="106" xfId="0" applyFont="1" applyFill="1" applyBorder="1" applyAlignment="1" applyProtection="1">
      <alignment horizontal="center" vertical="center" textRotation="90"/>
    </xf>
    <xf numFmtId="0" fontId="9" fillId="2" borderId="106" xfId="0" applyFont="1" applyFill="1" applyBorder="1" applyAlignment="1" applyProtection="1">
      <alignment horizontal="center" vertical="center" textRotation="90" wrapText="1"/>
    </xf>
    <xf numFmtId="0" fontId="2" fillId="2" borderId="106" xfId="0" applyFont="1" applyFill="1" applyBorder="1" applyAlignment="1" applyProtection="1">
      <alignment horizontal="center" vertical="center" wrapText="1"/>
    </xf>
    <xf numFmtId="0" fontId="2" fillId="2" borderId="46" xfId="0" applyFont="1" applyFill="1" applyBorder="1" applyAlignment="1" applyProtection="1">
      <alignment horizontal="center" vertical="center" textRotation="90" wrapText="1"/>
    </xf>
    <xf numFmtId="0" fontId="10" fillId="2" borderId="107" xfId="0" applyFont="1" applyFill="1" applyBorder="1" applyAlignment="1" applyProtection="1">
      <alignment horizontal="center" vertical="center"/>
    </xf>
    <xf numFmtId="166" fontId="4" fillId="0" borderId="30" xfId="0" applyNumberFormat="1" applyFont="1" applyFill="1" applyBorder="1" applyAlignment="1" applyProtection="1">
      <protection locked="0"/>
    </xf>
    <xf numFmtId="166" fontId="4" fillId="0" borderId="30" xfId="0" applyNumberFormat="1" applyFont="1" applyFill="1" applyBorder="1" applyProtection="1">
      <protection locked="0"/>
    </xf>
    <xf numFmtId="166" fontId="4" fillId="0" borderId="30" xfId="0" applyNumberFormat="1" applyFont="1" applyFill="1" applyBorder="1" applyAlignment="1" applyProtection="1">
      <alignment horizontal="center" vertical="center"/>
      <protection locked="0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6" fontId="2" fillId="0" borderId="16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vertical="center" wrapText="1"/>
      <protection locked="0"/>
    </xf>
    <xf numFmtId="166" fontId="4" fillId="4" borderId="30" xfId="0" applyNumberFormat="1" applyFont="1" applyFill="1" applyBorder="1" applyAlignment="1" applyProtection="1">
      <alignment horizontal="right" vertical="center"/>
      <protection locked="0"/>
    </xf>
    <xf numFmtId="166" fontId="4" fillId="4" borderId="30" xfId="0" applyNumberFormat="1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vertical="center" wrapText="1"/>
      <protection locked="0"/>
    </xf>
    <xf numFmtId="166" fontId="2" fillId="0" borderId="30" xfId="0" applyNumberFormat="1" applyFont="1" applyBorder="1" applyAlignment="1">
      <alignment horizontal="right" vertical="center"/>
    </xf>
    <xf numFmtId="2" fontId="2" fillId="0" borderId="1" xfId="0" applyNumberFormat="1" applyFont="1" applyBorder="1" applyProtection="1"/>
    <xf numFmtId="2" fontId="2" fillId="0" borderId="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Protection="1"/>
    <xf numFmtId="166" fontId="4" fillId="14" borderId="1" xfId="0" applyNumberFormat="1" applyFont="1" applyFill="1" applyBorder="1" applyAlignment="1" applyProtection="1">
      <protection locked="0"/>
    </xf>
    <xf numFmtId="49" fontId="1" fillId="0" borderId="10" xfId="0" applyNumberFormat="1" applyFont="1" applyBorder="1" applyAlignment="1" applyProtection="1">
      <alignment vertical="center"/>
    </xf>
    <xf numFmtId="168" fontId="11" fillId="4" borderId="56" xfId="0" applyNumberFormat="1" applyFont="1" applyFill="1" applyBorder="1" applyAlignment="1" applyProtection="1">
      <alignment vertical="center"/>
    </xf>
    <xf numFmtId="0" fontId="2" fillId="2" borderId="108" xfId="0" applyFont="1" applyFill="1" applyBorder="1" applyAlignment="1" applyProtection="1">
      <alignment horizontal="center" vertical="center" wrapText="1"/>
    </xf>
    <xf numFmtId="166" fontId="2" fillId="7" borderId="109" xfId="0" applyNumberFormat="1" applyFont="1" applyFill="1" applyBorder="1" applyAlignment="1" applyProtection="1">
      <alignment horizontal="right" vertical="center"/>
    </xf>
    <xf numFmtId="0" fontId="2" fillId="2" borderId="50" xfId="0" applyFont="1" applyFill="1" applyBorder="1" applyAlignment="1" applyProtection="1">
      <alignment horizontal="center" vertical="center" wrapText="1"/>
    </xf>
    <xf numFmtId="166" fontId="2" fillId="13" borderId="110" xfId="0" applyNumberFormat="1" applyFont="1" applyFill="1" applyBorder="1" applyAlignment="1" applyProtection="1">
      <alignment horizontal="right" vertical="center"/>
    </xf>
    <xf numFmtId="166" fontId="2" fillId="0" borderId="110" xfId="0" applyNumberFormat="1" applyFont="1" applyFill="1" applyBorder="1" applyAlignment="1" applyProtection="1">
      <alignment horizontal="right" vertical="center"/>
    </xf>
    <xf numFmtId="2" fontId="2" fillId="0" borderId="93" xfId="0" applyNumberFormat="1" applyFont="1" applyBorder="1" applyAlignment="1">
      <alignment horizontal="right" vertical="center"/>
    </xf>
    <xf numFmtId="2" fontId="2" fillId="0" borderId="111" xfId="0" applyNumberFormat="1" applyFont="1" applyFill="1" applyBorder="1" applyAlignment="1" applyProtection="1">
      <alignment horizontal="right" vertical="center"/>
    </xf>
    <xf numFmtId="164" fontId="7" fillId="4" borderId="94" xfId="0" applyNumberFormat="1" applyFont="1" applyFill="1" applyBorder="1" applyAlignment="1" applyProtection="1">
      <alignment horizontal="center" vertical="center"/>
      <protection locked="0"/>
    </xf>
    <xf numFmtId="2" fontId="4" fillId="0" borderId="113" xfId="0" applyNumberFormat="1" applyFont="1" applyFill="1" applyBorder="1" applyAlignment="1" applyProtection="1">
      <alignment horizontal="center" vertical="center"/>
      <protection locked="0"/>
    </xf>
    <xf numFmtId="2" fontId="2" fillId="0" borderId="113" xfId="0" applyNumberFormat="1" applyFont="1" applyFill="1" applyBorder="1" applyAlignment="1" applyProtection="1">
      <alignment horizontal="right" vertical="center"/>
    </xf>
    <xf numFmtId="2" fontId="7" fillId="0" borderId="113" xfId="0" applyNumberFormat="1" applyFont="1" applyFill="1" applyBorder="1" applyAlignment="1" applyProtection="1">
      <alignment horizontal="right" vertical="center"/>
    </xf>
    <xf numFmtId="166" fontId="4" fillId="0" borderId="113" xfId="0" applyNumberFormat="1" applyFont="1" applyFill="1" applyBorder="1" applyAlignment="1" applyProtection="1">
      <alignment horizontal="center" vertical="center"/>
      <protection locked="0"/>
    </xf>
    <xf numFmtId="168" fontId="11" fillId="0" borderId="9" xfId="0" applyNumberFormat="1" applyFont="1" applyFill="1" applyBorder="1" applyAlignment="1" applyProtection="1">
      <alignment vertical="center"/>
    </xf>
    <xf numFmtId="168" fontId="11" fillId="4" borderId="9" xfId="0" applyNumberFormat="1" applyFont="1" applyFill="1" applyBorder="1" applyAlignment="1" applyProtection="1">
      <alignment vertical="center"/>
    </xf>
    <xf numFmtId="166" fontId="4" fillId="0" borderId="114" xfId="0" applyNumberFormat="1" applyFont="1" applyFill="1" applyBorder="1" applyAlignment="1" applyProtection="1">
      <alignment horizontal="center" vertical="center"/>
      <protection locked="0"/>
    </xf>
    <xf numFmtId="167" fontId="9" fillId="0" borderId="4" xfId="0" applyNumberFormat="1" applyFont="1" applyFill="1" applyBorder="1" applyAlignment="1" applyProtection="1">
      <alignment horizontal="right" vertical="center"/>
    </xf>
    <xf numFmtId="0" fontId="7" fillId="0" borderId="114" xfId="0" applyFont="1" applyFill="1" applyBorder="1" applyAlignment="1" applyProtection="1">
      <alignment vertical="center"/>
    </xf>
    <xf numFmtId="0" fontId="11" fillId="0" borderId="115" xfId="0" applyFont="1" applyBorder="1" applyAlignment="1" applyProtection="1">
      <alignment vertical="center" wrapText="1"/>
    </xf>
    <xf numFmtId="0" fontId="11" fillId="0" borderId="43" xfId="0" applyFont="1" applyBorder="1" applyAlignment="1" applyProtection="1">
      <alignment vertical="center" wrapText="1"/>
    </xf>
    <xf numFmtId="16" fontId="1" fillId="0" borderId="116" xfId="0" applyNumberFormat="1" applyFont="1" applyBorder="1" applyAlignment="1" applyProtection="1">
      <alignment horizontal="center" vertical="center"/>
    </xf>
    <xf numFmtId="167" fontId="3" fillId="0" borderId="94" xfId="0" applyNumberFormat="1" applyFont="1" applyFill="1" applyBorder="1" applyAlignment="1" applyProtection="1">
      <alignment horizontal="right" vertical="center"/>
      <protection locked="0"/>
    </xf>
    <xf numFmtId="1" fontId="9" fillId="0" borderId="94" xfId="0" applyNumberFormat="1" applyFont="1" applyFill="1" applyBorder="1" applyAlignment="1" applyProtection="1">
      <alignment horizontal="right" vertical="center"/>
      <protection locked="0"/>
    </xf>
    <xf numFmtId="0" fontId="4" fillId="0" borderId="118" xfId="0" applyFont="1" applyBorder="1" applyAlignment="1" applyProtection="1">
      <alignment horizontal="center" vertical="center"/>
    </xf>
    <xf numFmtId="167" fontId="3" fillId="0" borderId="4" xfId="0" applyNumberFormat="1" applyFont="1" applyFill="1" applyBorder="1" applyAlignment="1" applyProtection="1">
      <alignment horizontal="right" vertical="center"/>
    </xf>
    <xf numFmtId="0" fontId="7" fillId="0" borderId="114" xfId="0" applyFont="1" applyFill="1" applyBorder="1" applyAlignment="1" applyProtection="1">
      <alignment vertical="center" wrapText="1"/>
    </xf>
    <xf numFmtId="0" fontId="4" fillId="0" borderId="114" xfId="0" applyFont="1" applyFill="1" applyBorder="1" applyAlignment="1" applyProtection="1">
      <alignment vertical="center" wrapText="1"/>
    </xf>
    <xf numFmtId="166" fontId="11" fillId="0" borderId="1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vertical="center"/>
    </xf>
    <xf numFmtId="0" fontId="8" fillId="0" borderId="29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49" fontId="11" fillId="0" borderId="10" xfId="0" applyNumberFormat="1" applyFont="1" applyBorder="1" applyAlignment="1" applyProtection="1">
      <alignment vertical="center"/>
    </xf>
    <xf numFmtId="0" fontId="8" fillId="0" borderId="30" xfId="0" applyNumberFormat="1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4" fillId="0" borderId="114" xfId="0" applyFont="1" applyFill="1" applyBorder="1" applyAlignment="1" applyProtection="1">
      <alignment vertical="center"/>
    </xf>
    <xf numFmtId="0" fontId="1" fillId="0" borderId="46" xfId="0" applyFont="1" applyFill="1" applyBorder="1"/>
    <xf numFmtId="0" fontId="0" fillId="0" borderId="47" xfId="0" applyBorder="1"/>
    <xf numFmtId="0" fontId="1" fillId="0" borderId="42" xfId="0" applyFont="1" applyFill="1" applyBorder="1"/>
    <xf numFmtId="0" fontId="0" fillId="0" borderId="97" xfId="0" applyBorder="1"/>
    <xf numFmtId="49" fontId="3" fillId="5" borderId="102" xfId="0" applyNumberFormat="1" applyFont="1" applyFill="1" applyBorder="1" applyAlignment="1" applyProtection="1">
      <alignment vertical="center"/>
      <protection locked="0"/>
    </xf>
    <xf numFmtId="0" fontId="27" fillId="5" borderId="103" xfId="0" applyFont="1" applyFill="1" applyBorder="1" applyAlignment="1" applyProtection="1">
      <alignment vertical="center"/>
      <protection locked="0"/>
    </xf>
    <xf numFmtId="0" fontId="3" fillId="5" borderId="104" xfId="0" applyFont="1" applyFill="1" applyBorder="1" applyAlignment="1" applyProtection="1">
      <alignment vertical="center"/>
      <protection locked="0"/>
    </xf>
    <xf numFmtId="0" fontId="1" fillId="0" borderId="15" xfId="0" applyFont="1" applyBorder="1" applyProtection="1"/>
    <xf numFmtId="49" fontId="3" fillId="5" borderId="105" xfId="0" applyNumberFormat="1" applyFont="1" applyFill="1" applyBorder="1" applyAlignment="1" applyProtection="1">
      <alignment vertical="center"/>
      <protection locked="0"/>
    </xf>
    <xf numFmtId="0" fontId="1" fillId="5" borderId="120" xfId="0" applyFont="1" applyFill="1" applyBorder="1" applyAlignment="1" applyProtection="1">
      <alignment horizontal="center"/>
      <protection locked="0"/>
    </xf>
    <xf numFmtId="0" fontId="1" fillId="5" borderId="70" xfId="0" applyFont="1" applyFill="1" applyBorder="1" applyAlignment="1" applyProtection="1">
      <alignment horizontal="center"/>
      <protection locked="0"/>
    </xf>
    <xf numFmtId="0" fontId="0" fillId="5" borderId="119" xfId="0" applyFill="1" applyBorder="1" applyAlignment="1">
      <alignment horizontal="center"/>
    </xf>
    <xf numFmtId="0" fontId="0" fillId="5" borderId="120" xfId="0" applyFill="1" applyBorder="1" applyAlignment="1">
      <alignment horizontal="center"/>
    </xf>
    <xf numFmtId="0" fontId="0" fillId="5" borderId="121" xfId="0" applyFill="1" applyBorder="1" applyAlignment="1">
      <alignment horizontal="center"/>
    </xf>
    <xf numFmtId="0" fontId="1" fillId="8" borderId="46" xfId="0" applyFont="1" applyFill="1" applyBorder="1" applyAlignment="1" applyProtection="1">
      <alignment vertical="center"/>
    </xf>
    <xf numFmtId="0" fontId="1" fillId="0" borderId="46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 wrapText="1"/>
    </xf>
    <xf numFmtId="14" fontId="1" fillId="5" borderId="46" xfId="0" applyNumberFormat="1" applyFont="1" applyFill="1" applyBorder="1" applyAlignment="1" applyProtection="1">
      <alignment vertical="center"/>
      <protection locked="0"/>
    </xf>
    <xf numFmtId="0" fontId="1" fillId="5" borderId="46" xfId="0" applyFont="1" applyFill="1" applyBorder="1" applyAlignment="1" applyProtection="1">
      <alignment vertical="center"/>
      <protection locked="0"/>
    </xf>
    <xf numFmtId="166" fontId="1" fillId="0" borderId="68" xfId="0" applyNumberFormat="1" applyFont="1" applyBorder="1" applyAlignment="1" applyProtection="1">
      <alignment horizontal="center"/>
    </xf>
    <xf numFmtId="0" fontId="0" fillId="0" borderId="119" xfId="0" applyBorder="1"/>
    <xf numFmtId="0" fontId="0" fillId="0" borderId="120" xfId="0" applyBorder="1"/>
    <xf numFmtId="0" fontId="0" fillId="0" borderId="70" xfId="0" applyBorder="1"/>
    <xf numFmtId="0" fontId="0" fillId="0" borderId="119" xfId="0" applyFont="1" applyFill="1" applyBorder="1"/>
    <xf numFmtId="0" fontId="1" fillId="0" borderId="120" xfId="0" applyFont="1" applyFill="1" applyBorder="1" applyAlignment="1" applyProtection="1">
      <alignment vertical="center"/>
    </xf>
    <xf numFmtId="0" fontId="1" fillId="8" borderId="68" xfId="0" applyFont="1" applyFill="1" applyBorder="1" applyAlignment="1" applyProtection="1">
      <alignment vertical="center" wrapText="1"/>
    </xf>
    <xf numFmtId="2" fontId="1" fillId="5" borderId="68" xfId="0" applyNumberFormat="1" applyFont="1" applyFill="1" applyBorder="1" applyAlignment="1" applyProtection="1">
      <alignment horizontal="center" vertical="center"/>
      <protection locked="0"/>
    </xf>
    <xf numFmtId="166" fontId="1" fillId="5" borderId="68" xfId="0" applyNumberFormat="1" applyFont="1" applyFill="1" applyBorder="1" applyAlignment="1" applyProtection="1">
      <alignment horizontal="center" vertical="center"/>
      <protection locked="0"/>
    </xf>
    <xf numFmtId="2" fontId="2" fillId="4" borderId="68" xfId="0" applyNumberFormat="1" applyFont="1" applyFill="1" applyBorder="1" applyAlignment="1" applyProtection="1">
      <alignment horizontal="center" vertical="center"/>
    </xf>
    <xf numFmtId="1" fontId="1" fillId="0" borderId="68" xfId="0" applyNumberFormat="1" applyFont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50" xfId="0" applyFont="1" applyBorder="1" applyAlignment="1" applyProtection="1">
      <alignment vertical="center" wrapText="1"/>
    </xf>
    <xf numFmtId="0" fontId="0" fillId="0" borderId="123" xfId="0" applyBorder="1"/>
    <xf numFmtId="0" fontId="0" fillId="0" borderId="117" xfId="0" applyBorder="1"/>
    <xf numFmtId="0" fontId="0" fillId="0" borderId="124" xfId="0" applyBorder="1"/>
    <xf numFmtId="0" fontId="1" fillId="0" borderId="125" xfId="0" applyFont="1" applyBorder="1"/>
    <xf numFmtId="0" fontId="8" fillId="0" borderId="21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1" xfId="0" applyFont="1" applyBorder="1" applyProtection="1"/>
    <xf numFmtId="0" fontId="8" fillId="0" borderId="21" xfId="0" applyFont="1" applyFill="1" applyBorder="1" applyAlignment="1" applyProtection="1">
      <alignment vertical="center"/>
    </xf>
    <xf numFmtId="0" fontId="0" fillId="0" borderId="122" xfId="0" applyFill="1" applyBorder="1" applyAlignment="1">
      <alignment horizontal="center"/>
    </xf>
    <xf numFmtId="0" fontId="1" fillId="0" borderId="12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91" xfId="0" applyFont="1" applyBorder="1" applyAlignment="1" applyProtection="1">
      <alignment horizontal="center" vertical="center"/>
      <protection locked="0"/>
    </xf>
    <xf numFmtId="0" fontId="1" fillId="0" borderId="92" xfId="0" applyFont="1" applyBorder="1" applyAlignment="1" applyProtection="1">
      <alignment horizontal="center" vertical="center"/>
      <protection locked="0"/>
    </xf>
    <xf numFmtId="165" fontId="12" fillId="0" borderId="24" xfId="0" applyNumberFormat="1" applyFont="1" applyBorder="1" applyAlignment="1" applyProtection="1">
      <alignment horizontal="center" vertical="center"/>
      <protection locked="0"/>
    </xf>
    <xf numFmtId="165" fontId="12" fillId="0" borderId="21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/>
      <protection locked="0"/>
    </xf>
    <xf numFmtId="0" fontId="1" fillId="0" borderId="88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2" fillId="0" borderId="83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117" xfId="0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165" fontId="12" fillId="0" borderId="91" xfId="0" applyNumberFormat="1" applyFont="1" applyBorder="1" applyAlignment="1">
      <alignment horizontal="center" vertical="center"/>
    </xf>
    <xf numFmtId="165" fontId="12" fillId="0" borderId="92" xfId="0" applyNumberFormat="1" applyFont="1" applyBorder="1" applyAlignment="1">
      <alignment horizontal="center" vertical="center"/>
    </xf>
    <xf numFmtId="165" fontId="12" fillId="0" borderId="112" xfId="0" applyNumberFormat="1" applyFont="1" applyBorder="1" applyAlignment="1">
      <alignment horizontal="center" vertical="center"/>
    </xf>
    <xf numFmtId="0" fontId="1" fillId="0" borderId="59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80" xfId="0" applyFont="1" applyBorder="1" applyAlignment="1" applyProtection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/>
    </xf>
    <xf numFmtId="170" fontId="8" fillId="0" borderId="21" xfId="0" applyNumberFormat="1" applyFont="1" applyBorder="1" applyAlignment="1" applyProtection="1">
      <alignment horizontal="center" vertical="center"/>
    </xf>
    <xf numFmtId="170" fontId="8" fillId="0" borderId="2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 wrapText="1"/>
    </xf>
    <xf numFmtId="168" fontId="1" fillId="0" borderId="0" xfId="1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71" fontId="3" fillId="0" borderId="27" xfId="0" applyNumberFormat="1" applyFont="1" applyBorder="1" applyAlignment="1" applyProtection="1">
      <alignment horizontal="center" vertical="center"/>
    </xf>
    <xf numFmtId="171" fontId="3" fillId="0" borderId="18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65" fontId="12" fillId="0" borderId="24" xfId="0" applyNumberFormat="1" applyFont="1" applyBorder="1" applyAlignment="1" applyProtection="1">
      <alignment horizontal="center" vertical="center"/>
    </xf>
    <xf numFmtId="165" fontId="12" fillId="0" borderId="21" xfId="0" applyNumberFormat="1" applyFont="1" applyBorder="1" applyAlignment="1" applyProtection="1">
      <alignment horizontal="center" vertical="center"/>
    </xf>
    <xf numFmtId="165" fontId="12" fillId="0" borderId="22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left" wrapText="1"/>
    </xf>
    <xf numFmtId="0" fontId="29" fillId="0" borderId="0" xfId="0" applyFont="1" applyFill="1" applyProtection="1"/>
    <xf numFmtId="0" fontId="1" fillId="12" borderId="0" xfId="0" applyFont="1" applyFill="1" applyBorder="1" applyAlignment="1" applyProtection="1">
      <alignment vertical="center"/>
    </xf>
    <xf numFmtId="0" fontId="1" fillId="12" borderId="0" xfId="0" applyFont="1" applyFill="1" applyProtection="1"/>
    <xf numFmtId="0" fontId="30" fillId="12" borderId="0" xfId="0" applyFont="1" applyFill="1" applyProtection="1"/>
    <xf numFmtId="0" fontId="28" fillId="12" borderId="0" xfId="0" applyFont="1" applyFill="1" applyProtection="1"/>
  </cellXfs>
  <cellStyles count="2">
    <cellStyle name="Standard" xfId="0" builtinId="0"/>
    <cellStyle name="Standard 2" xfId="1"/>
  </cellStyles>
  <dxfs count="1469">
    <dxf>
      <fill>
        <patternFill>
          <bgColor theme="1" tint="0.34998626667073579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 patternType="solid"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ddd\,\ dd/\ mmm\ yyyy;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rgb="FF000000"/>
        </left>
        <right style="medium">
          <color indexed="64"/>
        </right>
        <top style="thin">
          <color rgb="FF000000"/>
        </top>
        <bottom style="thin">
          <color rgb="FF000000"/>
        </bottom>
      </border>
    </dxf>
    <dxf>
      <protection locked="1" hidden="0"/>
    </dxf>
    <dxf>
      <protection locked="1" hidden="0"/>
    </dxf>
  </dxfs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762000</xdr:colOff>
          <xdr:row>13</xdr:row>
          <xdr:rowOff>76200</xdr:rowOff>
        </xdr:from>
        <xdr:to>
          <xdr:col>12</xdr:col>
          <xdr:colOff>295275</xdr:colOff>
          <xdr:row>17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571500</xdr:colOff>
          <xdr:row>9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1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elle1" displayName="Tabelle1" ref="A2:D29" totalsRowShown="0" headerRowDxfId="1468" dataDxfId="1467" tableBorderDxfId="1466">
  <autoFilter ref="A2:D29"/>
  <sortState ref="A3:B26">
    <sortCondition ref="B2:B26"/>
  </sortState>
  <tableColumns count="4">
    <tableColumn id="1" name="Name des Feiertages" dataDxfId="1465"/>
    <tableColumn id="2" name="Datum" dataDxfId="1464"/>
    <tableColumn id="3" name="Typ" dataDxfId="1463"/>
    <tableColumn id="4" name="zusätzliche freie Tage ED Salzburg" dataDxfId="146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-Dok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showGridLines="0" workbookViewId="0">
      <selection activeCell="A21" sqref="A21:B21"/>
    </sheetView>
  </sheetViews>
  <sheetFormatPr baseColWidth="10" defaultRowHeight="12.75" x14ac:dyDescent="0.2"/>
  <cols>
    <col min="1" max="1" width="27.140625" bestFit="1" customWidth="1"/>
    <col min="2" max="2" width="17.42578125" customWidth="1"/>
  </cols>
  <sheetData>
    <row r="2" spans="1:2" x14ac:dyDescent="0.2">
      <c r="A2" s="262" t="s">
        <v>185</v>
      </c>
      <c r="B2" s="261"/>
    </row>
    <row r="3" spans="1:2" x14ac:dyDescent="0.2">
      <c r="A3" s="260" t="s">
        <v>184</v>
      </c>
      <c r="B3" s="259">
        <v>1</v>
      </c>
    </row>
    <row r="4" spans="1:2" x14ac:dyDescent="0.2">
      <c r="A4" s="258" t="s">
        <v>183</v>
      </c>
      <c r="B4" s="257">
        <v>0.45833333333333331</v>
      </c>
    </row>
    <row r="6" spans="1:2" x14ac:dyDescent="0.2">
      <c r="A6" s="262" t="s">
        <v>187</v>
      </c>
      <c r="B6" s="261"/>
    </row>
    <row r="7" spans="1:2" x14ac:dyDescent="0.2">
      <c r="A7" s="325" t="s">
        <v>148</v>
      </c>
      <c r="B7" s="326"/>
    </row>
    <row r="8" spans="1:2" x14ac:dyDescent="0.2">
      <c r="A8" s="327" t="s">
        <v>188</v>
      </c>
      <c r="B8" s="328"/>
    </row>
    <row r="10" spans="1:2" x14ac:dyDescent="0.2">
      <c r="A10" s="262" t="s">
        <v>201</v>
      </c>
      <c r="B10" s="261"/>
    </row>
    <row r="11" spans="1:2" x14ac:dyDescent="0.2">
      <c r="A11" s="260" t="s">
        <v>203</v>
      </c>
      <c r="B11" s="326"/>
    </row>
    <row r="12" spans="1:2" x14ac:dyDescent="0.2">
      <c r="A12" s="258" t="s">
        <v>202</v>
      </c>
      <c r="B12" s="328"/>
    </row>
    <row r="14" spans="1:2" x14ac:dyDescent="0.2">
      <c r="A14" s="262" t="s">
        <v>208</v>
      </c>
      <c r="B14" s="261"/>
    </row>
    <row r="15" spans="1:2" x14ac:dyDescent="0.2">
      <c r="A15" s="260" t="s">
        <v>190</v>
      </c>
      <c r="B15" s="326"/>
    </row>
    <row r="16" spans="1:2" x14ac:dyDescent="0.2">
      <c r="A16" s="260" t="s">
        <v>191</v>
      </c>
      <c r="B16" s="326"/>
    </row>
    <row r="17" spans="1:4" x14ac:dyDescent="0.2">
      <c r="A17" s="260" t="s">
        <v>192</v>
      </c>
      <c r="B17" s="326"/>
    </row>
    <row r="18" spans="1:4" x14ac:dyDescent="0.2">
      <c r="A18" s="260" t="s">
        <v>193</v>
      </c>
      <c r="B18" s="326"/>
    </row>
    <row r="19" spans="1:4" x14ac:dyDescent="0.2">
      <c r="A19" s="258" t="s">
        <v>194</v>
      </c>
      <c r="B19" s="328"/>
    </row>
    <row r="21" spans="1:4" x14ac:dyDescent="0.2">
      <c r="A21" s="368" t="str">
        <f>IF(Montag=1,"Mo","")</f>
        <v>Mo</v>
      </c>
      <c r="B21" s="369"/>
      <c r="C21" s="376" t="str">
        <f>IF(Montag&lt;&gt;1,Montag+2,"")</f>
        <v/>
      </c>
      <c r="D21" s="377"/>
    </row>
    <row r="22" spans="1:4" x14ac:dyDescent="0.2">
      <c r="A22" s="374" t="str">
        <f>IF(Dienstag=1,"Di","")</f>
        <v>Di</v>
      </c>
      <c r="B22" s="375"/>
      <c r="C22" s="378" t="str">
        <f>IF(Dienstag&lt;&gt;1,Dienstag+3,"")</f>
        <v/>
      </c>
      <c r="D22" s="379"/>
    </row>
    <row r="23" spans="1:4" x14ac:dyDescent="0.2">
      <c r="A23" s="374" t="str">
        <f>IF(Mittwoch=1,"Mi","")</f>
        <v>Mi</v>
      </c>
      <c r="B23" s="375"/>
      <c r="C23" s="378" t="str">
        <f>IF(Mittwoch&lt;&gt;1,Mittwoch+4,"")</f>
        <v/>
      </c>
      <c r="D23" s="379"/>
    </row>
    <row r="24" spans="1:4" x14ac:dyDescent="0.2">
      <c r="A24" s="374" t="str">
        <f>IF(Donnerstag=1,"Do","")</f>
        <v>Do</v>
      </c>
      <c r="B24" s="375"/>
      <c r="C24" s="378" t="str">
        <f>IF(Donnerstag&lt;&gt;1,Donnerstag+5,"")</f>
        <v/>
      </c>
      <c r="D24" s="379"/>
    </row>
    <row r="25" spans="1:4" x14ac:dyDescent="0.2">
      <c r="A25" s="374" t="str">
        <f>IF(Freitag=1,"Fr","")</f>
        <v>Fr</v>
      </c>
      <c r="B25" s="375"/>
      <c r="C25" s="378" t="str">
        <f>IF(Freitag&lt;&gt;1,Freitag+6,"")</f>
        <v/>
      </c>
      <c r="D25" s="379"/>
    </row>
    <row r="26" spans="1:4" x14ac:dyDescent="0.2">
      <c r="A26" s="374" t="str">
        <f>IF(Samstag=1,"Sa","")</f>
        <v/>
      </c>
      <c r="B26" s="375"/>
      <c r="C26" s="378">
        <f>IF(Samstag&lt;&gt;1,Samstag+7,"")</f>
        <v>7</v>
      </c>
      <c r="D26" s="379"/>
    </row>
    <row r="27" spans="1:4" x14ac:dyDescent="0.2">
      <c r="A27" s="372" t="str">
        <f>IF(Sonntag=1,"So","")</f>
        <v/>
      </c>
      <c r="B27" s="373"/>
      <c r="C27" s="370">
        <f>IF(Sonntag&lt;&gt;1,Sonntag+1,"")</f>
        <v>1</v>
      </c>
      <c r="D27" s="371"/>
    </row>
    <row r="28" spans="1:4" ht="13.5" thickBot="1" x14ac:dyDescent="0.25"/>
    <row r="29" spans="1:4" ht="13.5" thickTop="1" x14ac:dyDescent="0.2">
      <c r="A29" s="358" t="s">
        <v>204</v>
      </c>
      <c r="B29" s="359"/>
    </row>
    <row r="30" spans="1:4" ht="13.5" thickBot="1" x14ac:dyDescent="0.25">
      <c r="A30" s="360"/>
      <c r="B30" s="361" t="s">
        <v>205</v>
      </c>
    </row>
    <row r="31" spans="1:4" ht="13.5" thickTop="1" x14ac:dyDescent="0.2"/>
    <row r="36" spans="1:1" x14ac:dyDescent="0.2">
      <c r="A36" s="260"/>
    </row>
  </sheetData>
  <mergeCells count="14">
    <mergeCell ref="A21:B21"/>
    <mergeCell ref="C27:D27"/>
    <mergeCell ref="A27:B27"/>
    <mergeCell ref="A22:B22"/>
    <mergeCell ref="A23:B23"/>
    <mergeCell ref="A24:B24"/>
    <mergeCell ref="A25:B25"/>
    <mergeCell ref="A26:B26"/>
    <mergeCell ref="C21:D21"/>
    <mergeCell ref="C22:D22"/>
    <mergeCell ref="C23:D23"/>
    <mergeCell ref="C24:D24"/>
    <mergeCell ref="C25:D25"/>
    <mergeCell ref="C26:D26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11" zoomScaleNormal="100" workbookViewId="0">
      <selection activeCell="K13" sqref="K13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4257812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8.28515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45474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+Jun!L7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23</v>
      </c>
      <c r="E5" s="74">
        <f>Start!B29</f>
        <v>0.33333333333333331</v>
      </c>
      <c r="F5" s="74">
        <f ca="1">+D5*E5</f>
        <v>7.6666666666666661</v>
      </c>
      <c r="G5" s="74">
        <f>+L6*E5</f>
        <v>0</v>
      </c>
      <c r="H5" s="74">
        <f>SUM(J10:J40)</f>
        <v>0</v>
      </c>
      <c r="I5" s="74">
        <f ca="1">+F5-G5-H5</f>
        <v>7.6666666666666661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23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45474</v>
      </c>
      <c r="B10" s="75"/>
      <c r="C10" s="72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 t="str">
        <f ca="1">IF(TEXT(A10,"TTT")="So",SUM(I10),"")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Mo</v>
      </c>
      <c r="O10" s="82">
        <f t="shared" ref="O10:O40" si="1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45475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ca="1">IF(TEXT(A11,"TTT")="So",SUM(I10:I11),"")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Di</v>
      </c>
      <c r="N11" s="147"/>
      <c r="O11" s="82">
        <f t="shared" si="1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4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5">IF(A11="","",IF(MONTH(A11+1)=MONTH($A$10),A11+1,""))</f>
        <v>45476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ref="L12:L40" ca="1" si="6">IF(TEXT(A12,"TTT")="So",SUM(I6:I12),"")</f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Mi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4"/>
        <v/>
      </c>
      <c r="S12" s="87">
        <f t="shared" ca="1" si="3"/>
        <v>0</v>
      </c>
    </row>
    <row r="13" spans="1:21" x14ac:dyDescent="0.2">
      <c r="A13" s="96">
        <f t="shared" ca="1" si="5"/>
        <v>45477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6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Do</v>
      </c>
      <c r="N13" s="147"/>
      <c r="O13" s="82">
        <f t="shared" si="1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4"/>
        <v/>
      </c>
      <c r="S13" s="87">
        <f t="shared" ca="1" si="3"/>
        <v>0</v>
      </c>
    </row>
    <row r="14" spans="1:21" x14ac:dyDescent="0.2">
      <c r="A14" s="96">
        <f t="shared" ca="1" si="5"/>
        <v>45478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6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Fr</v>
      </c>
      <c r="N14" s="147"/>
      <c r="O14" s="82">
        <f t="shared" si="1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4"/>
        <v/>
      </c>
      <c r="S14" s="87">
        <f t="shared" ca="1" si="3"/>
        <v>0</v>
      </c>
    </row>
    <row r="15" spans="1:21" x14ac:dyDescent="0.2">
      <c r="A15" s="96">
        <f t="shared" ca="1" si="5"/>
        <v>45479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6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frei</v>
      </c>
      <c r="N15" s="147"/>
      <c r="O15" s="82">
        <f t="shared" si="1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4"/>
        <v/>
      </c>
      <c r="S15" s="87">
        <f t="shared" ca="1" si="3"/>
        <v>0</v>
      </c>
    </row>
    <row r="16" spans="1:21" x14ac:dyDescent="0.2">
      <c r="A16" s="96">
        <f t="shared" ca="1" si="5"/>
        <v>45480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>
        <f t="shared" ca="1" si="6"/>
        <v>0</v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frei</v>
      </c>
      <c r="N16" s="147"/>
      <c r="O16" s="82">
        <f t="shared" si="1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4"/>
        <v/>
      </c>
      <c r="S16" s="87">
        <f t="shared" ca="1" si="3"/>
        <v>0</v>
      </c>
    </row>
    <row r="17" spans="1:19" x14ac:dyDescent="0.2">
      <c r="A17" s="96">
        <f t="shared" ca="1" si="5"/>
        <v>45481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6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Mo</v>
      </c>
      <c r="N17" s="147"/>
      <c r="O17" s="82">
        <f t="shared" si="1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4"/>
        <v/>
      </c>
      <c r="S17" s="87">
        <f t="shared" ca="1" si="3"/>
        <v>0</v>
      </c>
    </row>
    <row r="18" spans="1:19" x14ac:dyDescent="0.2">
      <c r="A18" s="96">
        <f t="shared" ca="1" si="5"/>
        <v>45482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6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Di</v>
      </c>
      <c r="N18" s="147"/>
      <c r="O18" s="82">
        <f t="shared" si="1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4"/>
        <v/>
      </c>
      <c r="S18" s="87">
        <f t="shared" ca="1" si="3"/>
        <v>0</v>
      </c>
    </row>
    <row r="19" spans="1:19" x14ac:dyDescent="0.2">
      <c r="A19" s="96">
        <f t="shared" ca="1" si="5"/>
        <v>45483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6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Mi</v>
      </c>
      <c r="N19" s="147"/>
      <c r="O19" s="82">
        <f t="shared" si="1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4"/>
        <v/>
      </c>
      <c r="S19" s="87">
        <f t="shared" ca="1" si="3"/>
        <v>0</v>
      </c>
    </row>
    <row r="20" spans="1:19" x14ac:dyDescent="0.2">
      <c r="A20" s="96">
        <f t="shared" ca="1" si="5"/>
        <v>45484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6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Do</v>
      </c>
      <c r="N20" s="147"/>
      <c r="O20" s="82">
        <f t="shared" si="1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4"/>
        <v/>
      </c>
      <c r="S20" s="87">
        <f t="shared" ca="1" si="3"/>
        <v>0</v>
      </c>
    </row>
    <row r="21" spans="1:19" x14ac:dyDescent="0.2">
      <c r="A21" s="96">
        <f t="shared" ca="1" si="5"/>
        <v>45485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6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Fr</v>
      </c>
      <c r="N21" s="147"/>
      <c r="O21" s="82">
        <f t="shared" si="1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4"/>
        <v/>
      </c>
      <c r="S21" s="87">
        <f t="shared" ca="1" si="3"/>
        <v>0</v>
      </c>
    </row>
    <row r="22" spans="1:19" x14ac:dyDescent="0.2">
      <c r="A22" s="96">
        <f t="shared" ca="1" si="5"/>
        <v>45486</v>
      </c>
      <c r="B22" s="75"/>
      <c r="C22" s="72"/>
      <c r="D22" s="72"/>
      <c r="E22" s="72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6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frei</v>
      </c>
      <c r="N22" s="147"/>
      <c r="O22" s="82">
        <f t="shared" si="1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4"/>
        <v/>
      </c>
      <c r="S22" s="87">
        <f t="shared" ca="1" si="3"/>
        <v>0</v>
      </c>
    </row>
    <row r="23" spans="1:19" x14ac:dyDescent="0.2">
      <c r="A23" s="96">
        <f t="shared" ca="1" si="5"/>
        <v>45487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>
        <f t="shared" ca="1" si="6"/>
        <v>0</v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frei</v>
      </c>
      <c r="N23" s="147"/>
      <c r="O23" s="82">
        <f t="shared" si="1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4"/>
        <v/>
      </c>
      <c r="S23" s="87">
        <f t="shared" ca="1" si="3"/>
        <v>0</v>
      </c>
    </row>
    <row r="24" spans="1:19" x14ac:dyDescent="0.2">
      <c r="A24" s="96">
        <f t="shared" ca="1" si="5"/>
        <v>45488</v>
      </c>
      <c r="B24" s="75"/>
      <c r="C24" s="72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6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Mo</v>
      </c>
      <c r="N24" s="147"/>
      <c r="O24" s="82">
        <f t="shared" si="1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4"/>
        <v/>
      </c>
      <c r="S24" s="87">
        <f t="shared" ca="1" si="3"/>
        <v>0</v>
      </c>
    </row>
    <row r="25" spans="1:19" x14ac:dyDescent="0.2">
      <c r="A25" s="96">
        <f t="shared" ca="1" si="5"/>
        <v>45489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6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Di</v>
      </c>
      <c r="N25" s="147"/>
      <c r="O25" s="82">
        <f t="shared" si="1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4"/>
        <v/>
      </c>
      <c r="S25" s="87">
        <f t="shared" ca="1" si="3"/>
        <v>0</v>
      </c>
    </row>
    <row r="26" spans="1:19" x14ac:dyDescent="0.2">
      <c r="A26" s="96">
        <f t="shared" ca="1" si="5"/>
        <v>45490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6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Mi</v>
      </c>
      <c r="N26" s="147"/>
      <c r="O26" s="82">
        <f t="shared" si="1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4"/>
        <v/>
      </c>
      <c r="S26" s="87">
        <f t="shared" ca="1" si="3"/>
        <v>0</v>
      </c>
    </row>
    <row r="27" spans="1:19" x14ac:dyDescent="0.2">
      <c r="A27" s="96">
        <f t="shared" ca="1" si="5"/>
        <v>45491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6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Do</v>
      </c>
      <c r="N27" s="147"/>
      <c r="O27" s="82">
        <f t="shared" si="1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4"/>
        <v/>
      </c>
      <c r="S27" s="87">
        <f t="shared" ca="1" si="3"/>
        <v>0</v>
      </c>
    </row>
    <row r="28" spans="1:19" x14ac:dyDescent="0.2">
      <c r="A28" s="96">
        <f t="shared" ca="1" si="5"/>
        <v>45492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6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Fr</v>
      </c>
      <c r="N28" s="147"/>
      <c r="O28" s="82">
        <f t="shared" si="1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4"/>
        <v/>
      </c>
      <c r="S28" s="87">
        <f t="shared" ca="1" si="3"/>
        <v>0</v>
      </c>
    </row>
    <row r="29" spans="1:19" x14ac:dyDescent="0.2">
      <c r="A29" s="96">
        <f t="shared" ca="1" si="5"/>
        <v>45493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6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frei</v>
      </c>
      <c r="N29" s="147"/>
      <c r="O29" s="82">
        <f t="shared" si="1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4"/>
        <v/>
      </c>
      <c r="S29" s="87">
        <f t="shared" ca="1" si="3"/>
        <v>0</v>
      </c>
    </row>
    <row r="30" spans="1:19" x14ac:dyDescent="0.2">
      <c r="A30" s="96">
        <f t="shared" ca="1" si="5"/>
        <v>45494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>
        <f t="shared" ca="1" si="6"/>
        <v>0</v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frei</v>
      </c>
      <c r="N30" s="147"/>
      <c r="O30" s="82">
        <f t="shared" si="1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4"/>
        <v/>
      </c>
      <c r="S30" s="87">
        <f t="shared" ca="1" si="3"/>
        <v>0</v>
      </c>
    </row>
    <row r="31" spans="1:19" x14ac:dyDescent="0.2">
      <c r="A31" s="96">
        <f t="shared" ca="1" si="5"/>
        <v>45495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6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Mo</v>
      </c>
      <c r="N31" s="147"/>
      <c r="O31" s="82">
        <f t="shared" si="1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4"/>
        <v/>
      </c>
      <c r="S31" s="87">
        <f t="shared" ca="1" si="3"/>
        <v>0</v>
      </c>
    </row>
    <row r="32" spans="1:19" x14ac:dyDescent="0.2">
      <c r="A32" s="96">
        <f t="shared" ca="1" si="5"/>
        <v>45496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6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Di</v>
      </c>
      <c r="N32" s="147"/>
      <c r="O32" s="82">
        <f t="shared" si="1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4"/>
        <v/>
      </c>
      <c r="S32" s="87">
        <f t="shared" ca="1" si="3"/>
        <v>0</v>
      </c>
    </row>
    <row r="33" spans="1:19" x14ac:dyDescent="0.2">
      <c r="A33" s="96">
        <f t="shared" ca="1" si="5"/>
        <v>45497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6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Mi</v>
      </c>
      <c r="N33" s="147"/>
      <c r="O33" s="82">
        <f t="shared" si="1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4"/>
        <v/>
      </c>
      <c r="S33" s="87">
        <f t="shared" ca="1" si="3"/>
        <v>0</v>
      </c>
    </row>
    <row r="34" spans="1:19" x14ac:dyDescent="0.2">
      <c r="A34" s="96">
        <f t="shared" ca="1" si="5"/>
        <v>45498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6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Do</v>
      </c>
      <c r="N34" s="147"/>
      <c r="O34" s="82">
        <f t="shared" si="1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4"/>
        <v/>
      </c>
      <c r="S34" s="87">
        <f t="shared" ca="1" si="3"/>
        <v>0</v>
      </c>
    </row>
    <row r="35" spans="1:19" x14ac:dyDescent="0.2">
      <c r="A35" s="96">
        <f t="shared" ca="1" si="5"/>
        <v>45499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6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Fr</v>
      </c>
      <c r="N35" s="147"/>
      <c r="O35" s="82">
        <f t="shared" si="1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2"/>
        <v>0</v>
      </c>
      <c r="R35" s="68" t="str">
        <f t="shared" ca="1" si="4"/>
        <v/>
      </c>
      <c r="S35" s="87">
        <f t="shared" ca="1" si="3"/>
        <v>0</v>
      </c>
    </row>
    <row r="36" spans="1:19" x14ac:dyDescent="0.2">
      <c r="A36" s="96">
        <f t="shared" ca="1" si="5"/>
        <v>45500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6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frei</v>
      </c>
      <c r="N36" s="147"/>
      <c r="O36" s="82">
        <f t="shared" si="1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4"/>
        <v/>
      </c>
      <c r="S36" s="87">
        <f t="shared" ca="1" si="3"/>
        <v>0</v>
      </c>
    </row>
    <row r="37" spans="1:19" x14ac:dyDescent="0.2">
      <c r="A37" s="96">
        <f t="shared" ca="1" si="5"/>
        <v>45501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>
        <f t="shared" ca="1" si="6"/>
        <v>0</v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frei</v>
      </c>
      <c r="N37" s="147"/>
      <c r="O37" s="82">
        <f t="shared" si="1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4"/>
        <v/>
      </c>
      <c r="S37" s="87">
        <f t="shared" ca="1" si="3"/>
        <v>0</v>
      </c>
    </row>
    <row r="38" spans="1:19" x14ac:dyDescent="0.2">
      <c r="A38" s="96">
        <f t="shared" ca="1" si="5"/>
        <v>45502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6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Mo</v>
      </c>
      <c r="N38" s="147"/>
      <c r="O38" s="82">
        <f t="shared" si="1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4"/>
        <v/>
      </c>
      <c r="S38" s="87">
        <f t="shared" ca="1" si="3"/>
        <v>0</v>
      </c>
    </row>
    <row r="39" spans="1:19" x14ac:dyDescent="0.2">
      <c r="A39" s="96">
        <f t="shared" ca="1" si="5"/>
        <v>45503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6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Di</v>
      </c>
      <c r="N39" s="147"/>
      <c r="O39" s="82">
        <f t="shared" si="1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4"/>
        <v/>
      </c>
      <c r="S39" s="87">
        <f t="shared" ca="1" si="3"/>
        <v>0</v>
      </c>
    </row>
    <row r="40" spans="1:19" x14ac:dyDescent="0.2">
      <c r="A40" s="96">
        <f t="shared" ca="1" si="5"/>
        <v>45504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6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Mi</v>
      </c>
      <c r="N40" s="147"/>
      <c r="O40" s="82">
        <f t="shared" si="1"/>
        <v>0</v>
      </c>
      <c r="P40" s="82">
        <f ca="1"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4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0.2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IF(OR(I43&gt;0,G5&gt;0,H5&gt;0),IF(AND(Jun!I43=0,Jun!G5=0,Jun!H5=0),Start!B40,Jun!L47),0)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1.7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4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rHAm5Di4kqxUk7+TxZ38gacnxskMwrYNI26pP6tPyVFyB5YNxca8ID8Xj6yIq8dhUoPHi5tDkAQhqHpNwv+9lA==" saltValue="cUWGC7zWMVToC9imVWsZAQ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21:H21 J10:K39 A10:A20 A25:H39 F22:H23 A22:A24 D24:H24 A40 J41:K41 A41:H41">
    <cfRule type="expression" dxfId="334" priority="118">
      <formula>WEEKDAY($A10,2)&gt;5</formula>
    </cfRule>
  </conditionalFormatting>
  <conditionalFormatting sqref="I10:I39 I41">
    <cfRule type="expression" dxfId="333" priority="108">
      <formula>(G10-F10)&gt;6/24</formula>
    </cfRule>
    <cfRule type="expression" dxfId="332" priority="109">
      <formula>(E10-D10)&gt;6/24</formula>
    </cfRule>
    <cfRule type="expression" dxfId="331" priority="110">
      <formula>(C10-B10)&gt;6/24</formula>
    </cfRule>
    <cfRule type="expression" dxfId="330" priority="112">
      <formula>WEEKDAY($A10,2)&gt;5</formula>
    </cfRule>
  </conditionalFormatting>
  <conditionalFormatting sqref="I10:I39 I41">
    <cfRule type="cellIs" dxfId="329" priority="111" operator="greaterThan">
      <formula>0.416666666666667</formula>
    </cfRule>
  </conditionalFormatting>
  <conditionalFormatting sqref="L47">
    <cfRule type="cellIs" dxfId="328" priority="104" operator="greaterThan">
      <formula>80</formula>
    </cfRule>
  </conditionalFormatting>
  <conditionalFormatting sqref="C22:E22">
    <cfRule type="expression" dxfId="327" priority="77">
      <formula>WEEKDAY($A22,2)&gt;5</formula>
    </cfRule>
  </conditionalFormatting>
  <conditionalFormatting sqref="B22">
    <cfRule type="expression" dxfId="326" priority="76">
      <formula>WEEKDAY($A22,2)&gt;5</formula>
    </cfRule>
  </conditionalFormatting>
  <conditionalFormatting sqref="C23:E23">
    <cfRule type="expression" dxfId="325" priority="75">
      <formula>WEEKDAY($A23,2)&gt;5</formula>
    </cfRule>
  </conditionalFormatting>
  <conditionalFormatting sqref="B23">
    <cfRule type="expression" dxfId="324" priority="74">
      <formula>WEEKDAY($A23,2)&gt;5</formula>
    </cfRule>
  </conditionalFormatting>
  <conditionalFormatting sqref="C24">
    <cfRule type="expression" dxfId="323" priority="73">
      <formula>WEEKDAY($A24,2)&gt;5</formula>
    </cfRule>
  </conditionalFormatting>
  <conditionalFormatting sqref="B24">
    <cfRule type="expression" dxfId="322" priority="72">
      <formula>WEEKDAY($A24,2)&gt;5</formula>
    </cfRule>
  </conditionalFormatting>
  <conditionalFormatting sqref="L41 L10:L39">
    <cfRule type="expression" dxfId="321" priority="49">
      <formula>WEEKDAY($A10,2)&gt;5</formula>
    </cfRule>
  </conditionalFormatting>
  <conditionalFormatting sqref="L41 L10:L39">
    <cfRule type="cellIs" dxfId="320" priority="48" operator="greaterThan">
      <formula>2.08333333333333</formula>
    </cfRule>
  </conditionalFormatting>
  <conditionalFormatting sqref="L41 L10:L39">
    <cfRule type="expression" dxfId="319" priority="47">
      <formula>L10=""</formula>
    </cfRule>
  </conditionalFormatting>
  <conditionalFormatting sqref="B11:H12 D10:H10 B18:H19 F13:H16 D17:H17 F20:H20">
    <cfRule type="expression" dxfId="318" priority="46">
      <formula>WEEKDAY($A10,2)&gt;5</formula>
    </cfRule>
  </conditionalFormatting>
  <conditionalFormatting sqref="C10">
    <cfRule type="expression" dxfId="317" priority="45">
      <formula>WEEKDAY($A10,2)&gt;5</formula>
    </cfRule>
  </conditionalFormatting>
  <conditionalFormatting sqref="B10">
    <cfRule type="expression" dxfId="316" priority="44">
      <formula>WEEKDAY($A10,2)&gt;5</formula>
    </cfRule>
  </conditionalFormatting>
  <conditionalFormatting sqref="C13:E13">
    <cfRule type="expression" dxfId="315" priority="43">
      <formula>WEEKDAY($A13,2)&gt;5</formula>
    </cfRule>
  </conditionalFormatting>
  <conditionalFormatting sqref="B13">
    <cfRule type="expression" dxfId="314" priority="42">
      <formula>WEEKDAY($A13,2)&gt;5</formula>
    </cfRule>
  </conditionalFormatting>
  <conditionalFormatting sqref="C14:E14">
    <cfRule type="expression" dxfId="313" priority="41">
      <formula>WEEKDAY($A14,2)&gt;5</formula>
    </cfRule>
  </conditionalFormatting>
  <conditionalFormatting sqref="B14">
    <cfRule type="expression" dxfId="312" priority="40">
      <formula>WEEKDAY($A14,2)&gt;5</formula>
    </cfRule>
  </conditionalFormatting>
  <conditionalFormatting sqref="C15:E15">
    <cfRule type="expression" dxfId="311" priority="39">
      <formula>WEEKDAY($A15,2)&gt;5</formula>
    </cfRule>
  </conditionalFormatting>
  <conditionalFormatting sqref="B15">
    <cfRule type="expression" dxfId="310" priority="38">
      <formula>WEEKDAY($A15,2)&gt;5</formula>
    </cfRule>
  </conditionalFormatting>
  <conditionalFormatting sqref="C16:E16">
    <cfRule type="expression" dxfId="309" priority="37">
      <formula>WEEKDAY($A16,2)&gt;5</formula>
    </cfRule>
  </conditionalFormatting>
  <conditionalFormatting sqref="B16">
    <cfRule type="expression" dxfId="308" priority="36">
      <formula>WEEKDAY($A16,2)&gt;5</formula>
    </cfRule>
  </conditionalFormatting>
  <conditionalFormatting sqref="C17">
    <cfRule type="expression" dxfId="307" priority="35">
      <formula>WEEKDAY($A17,2)&gt;5</formula>
    </cfRule>
  </conditionalFormatting>
  <conditionalFormatting sqref="B17">
    <cfRule type="expression" dxfId="306" priority="34">
      <formula>WEEKDAY($A17,2)&gt;5</formula>
    </cfRule>
  </conditionalFormatting>
  <conditionalFormatting sqref="C20:E20">
    <cfRule type="expression" dxfId="305" priority="33">
      <formula>WEEKDAY($A20,2)&gt;5</formula>
    </cfRule>
  </conditionalFormatting>
  <conditionalFormatting sqref="B20">
    <cfRule type="expression" dxfId="304" priority="32">
      <formula>WEEKDAY($A20,2)&gt;5</formula>
    </cfRule>
  </conditionalFormatting>
  <conditionalFormatting sqref="A10:K39 A40 A41:K41">
    <cfRule type="expression" dxfId="303" priority="31">
      <formula>$M10="frei"</formula>
    </cfRule>
  </conditionalFormatting>
  <conditionalFormatting sqref="M10:M41">
    <cfRule type="expression" dxfId="302" priority="29">
      <formula>M10="FD"</formula>
    </cfRule>
    <cfRule type="expression" dxfId="301" priority="30">
      <formula>M10="frei"</formula>
    </cfRule>
  </conditionalFormatting>
  <conditionalFormatting sqref="A42">
    <cfRule type="expression" dxfId="300" priority="27">
      <formula>$M42="frei"</formula>
    </cfRule>
  </conditionalFormatting>
  <conditionalFormatting sqref="J40:K40 B40:F40 H40">
    <cfRule type="expression" dxfId="299" priority="26">
      <formula>WEEKDAY($A40,2)&gt;5</formula>
    </cfRule>
  </conditionalFormatting>
  <conditionalFormatting sqref="I40">
    <cfRule type="expression" dxfId="298" priority="21">
      <formula>(G40-F40)&gt;6/24</formula>
    </cfRule>
    <cfRule type="expression" dxfId="297" priority="22">
      <formula>(E40-D40)&gt;6/24</formula>
    </cfRule>
    <cfRule type="expression" dxfId="296" priority="23">
      <formula>(C40-B40)&gt;6/24</formula>
    </cfRule>
    <cfRule type="expression" dxfId="295" priority="25">
      <formula>WEEKDAY($A40,2)&gt;5</formula>
    </cfRule>
  </conditionalFormatting>
  <conditionalFormatting sqref="I40">
    <cfRule type="cellIs" dxfId="294" priority="24" operator="greaterThan">
      <formula>0.416666666666667</formula>
    </cfRule>
  </conditionalFormatting>
  <conditionalFormatting sqref="B40:F40 H40:K40">
    <cfRule type="expression" dxfId="293" priority="17">
      <formula>$M40="frei"</formula>
    </cfRule>
  </conditionalFormatting>
  <conditionalFormatting sqref="G40">
    <cfRule type="expression" dxfId="292" priority="16">
      <formula>WEEKDAY($A40,2)&gt;5</formula>
    </cfRule>
  </conditionalFormatting>
  <conditionalFormatting sqref="G40">
    <cfRule type="expression" dxfId="291" priority="15">
      <formula>$M40="frei"</formula>
    </cfRule>
  </conditionalFormatting>
  <conditionalFormatting sqref="L40">
    <cfRule type="expression" dxfId="290" priority="14">
      <formula>WEEKDAY($A40,2)&gt;5</formula>
    </cfRule>
  </conditionalFormatting>
  <conditionalFormatting sqref="L40">
    <cfRule type="cellIs" dxfId="289" priority="13" operator="greaterThan">
      <formula>2.08333333333333</formula>
    </cfRule>
  </conditionalFormatting>
  <conditionalFormatting sqref="L40">
    <cfRule type="expression" dxfId="288" priority="12">
      <formula>L40=""</formula>
    </cfRule>
  </conditionalFormatting>
  <conditionalFormatting sqref="J43 L43">
    <cfRule type="expression" dxfId="287" priority="9">
      <formula>WEEKDAY($A43,2)&gt;5</formula>
    </cfRule>
  </conditionalFormatting>
  <conditionalFormatting sqref="J43 L43">
    <cfRule type="expression" dxfId="286" priority="8">
      <formula>$M43="frei"</formula>
    </cfRule>
  </conditionalFormatting>
  <conditionalFormatting sqref="J42 L42">
    <cfRule type="expression" dxfId="285" priority="7">
      <formula>WEEKDAY($A42,2)&gt;5</formula>
    </cfRule>
  </conditionalFormatting>
  <conditionalFormatting sqref="J42 L42">
    <cfRule type="expression" dxfId="284" priority="6">
      <formula>$M42="frei"</formula>
    </cfRule>
  </conditionalFormatting>
  <conditionalFormatting sqref="K42">
    <cfRule type="expression" dxfId="283" priority="5">
      <formula>WEEKDAY($A42,2)&gt;5</formula>
    </cfRule>
  </conditionalFormatting>
  <conditionalFormatting sqref="K42">
    <cfRule type="expression" dxfId="282" priority="4">
      <formula>$M42="frei"</formula>
    </cfRule>
  </conditionalFormatting>
  <conditionalFormatting sqref="K43">
    <cfRule type="expression" dxfId="281" priority="3">
      <formula>WEEKDAY($A43,2)&gt;5</formula>
    </cfRule>
  </conditionalFormatting>
  <conditionalFormatting sqref="K43">
    <cfRule type="expression" dxfId="280" priority="2">
      <formula>$M43="frei"</formula>
    </cfRule>
  </conditionalFormatting>
  <conditionalFormatting sqref="I46">
    <cfRule type="expression" dxfId="279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18" zoomScaleNormal="100" workbookViewId="0">
      <selection activeCell="K10" sqref="K1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5" style="78" customWidth="1"/>
    <col min="15" max="15" width="10.140625" style="78" customWidth="1"/>
    <col min="16" max="16" width="10.7109375" style="78" bestFit="1" customWidth="1"/>
    <col min="17" max="17" width="9.28515625" style="78" bestFit="1" customWidth="1"/>
    <col min="18" max="18" width="9.28515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45505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+Jul!L7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21</v>
      </c>
      <c r="E5" s="74">
        <f>Start!B29</f>
        <v>0.33333333333333331</v>
      </c>
      <c r="F5" s="74">
        <f ca="1">+D5*E5</f>
        <v>7</v>
      </c>
      <c r="G5" s="74">
        <f>+L6*E5</f>
        <v>0</v>
      </c>
      <c r="H5" s="74">
        <f>SUM(J10:J40)</f>
        <v>0</v>
      </c>
      <c r="I5" s="74">
        <f ca="1">+F5-G5-H5</f>
        <v>7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45505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/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Do</v>
      </c>
      <c r="O10" s="82">
        <f t="shared" ref="O10:O40" si="1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45506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t="shared" ref="L11:L40" ca="1" si="4">IF(TEXT(A11,"TTT")="So",SUM(I5:I11),"")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Fr</v>
      </c>
      <c r="N11" s="147"/>
      <c r="O11" s="82">
        <f t="shared" si="1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5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6">IF(A11="","",IF(MONTH(A11+1)=MONTH($A$10),A11+1,""))</f>
        <v>45507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19"/>
      <c r="L12" s="95" t="str">
        <f t="shared" ca="1" si="4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frei</v>
      </c>
      <c r="N12" s="147"/>
      <c r="O12" s="82">
        <f t="shared" si="1"/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5"/>
        <v/>
      </c>
      <c r="S12" s="87">
        <f t="shared" ca="1" si="3"/>
        <v>0</v>
      </c>
    </row>
    <row r="13" spans="1:21" x14ac:dyDescent="0.2">
      <c r="A13" s="96">
        <f t="shared" ca="1" si="6"/>
        <v>45508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>
        <f t="shared" ca="1" si="4"/>
        <v>0</v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frei</v>
      </c>
      <c r="N13" s="147"/>
      <c r="O13" s="82">
        <f t="shared" si="1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5"/>
        <v/>
      </c>
      <c r="S13" s="87">
        <f t="shared" ca="1" si="3"/>
        <v>0</v>
      </c>
    </row>
    <row r="14" spans="1:21" x14ac:dyDescent="0.2">
      <c r="A14" s="96">
        <f t="shared" ca="1" si="6"/>
        <v>45509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4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Mo</v>
      </c>
      <c r="N14" s="147"/>
      <c r="O14" s="82">
        <f t="shared" si="1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5"/>
        <v/>
      </c>
      <c r="S14" s="87">
        <f t="shared" ca="1" si="3"/>
        <v>0</v>
      </c>
    </row>
    <row r="15" spans="1:21" x14ac:dyDescent="0.2">
      <c r="A15" s="96">
        <f t="shared" ca="1" si="6"/>
        <v>45510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4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Di</v>
      </c>
      <c r="N15" s="147"/>
      <c r="O15" s="82">
        <f t="shared" si="1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5"/>
        <v/>
      </c>
      <c r="S15" s="87">
        <f t="shared" ca="1" si="3"/>
        <v>0</v>
      </c>
    </row>
    <row r="16" spans="1:21" x14ac:dyDescent="0.2">
      <c r="A16" s="96">
        <f t="shared" ca="1" si="6"/>
        <v>45511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4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Mi</v>
      </c>
      <c r="N16" s="147"/>
      <c r="O16" s="82">
        <f t="shared" si="1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5"/>
        <v/>
      </c>
      <c r="S16" s="87">
        <f t="shared" ca="1" si="3"/>
        <v>0</v>
      </c>
    </row>
    <row r="17" spans="1:19" x14ac:dyDescent="0.2">
      <c r="A17" s="96">
        <f t="shared" ca="1" si="6"/>
        <v>45512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4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Do</v>
      </c>
      <c r="N17" s="147"/>
      <c r="O17" s="82">
        <f t="shared" si="1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5"/>
        <v/>
      </c>
      <c r="S17" s="87">
        <f t="shared" ca="1" si="3"/>
        <v>0</v>
      </c>
    </row>
    <row r="18" spans="1:19" x14ac:dyDescent="0.2">
      <c r="A18" s="96">
        <f t="shared" ca="1" si="6"/>
        <v>45513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4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Fr</v>
      </c>
      <c r="N18" s="147"/>
      <c r="O18" s="82">
        <f t="shared" si="1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3"/>
        <v>0</v>
      </c>
    </row>
    <row r="19" spans="1:19" x14ac:dyDescent="0.2">
      <c r="A19" s="96">
        <f t="shared" ca="1" si="6"/>
        <v>45514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4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frei</v>
      </c>
      <c r="N19" s="147"/>
      <c r="O19" s="82">
        <f t="shared" si="1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5"/>
        <v/>
      </c>
      <c r="S19" s="87">
        <f t="shared" ca="1" si="3"/>
        <v>0</v>
      </c>
    </row>
    <row r="20" spans="1:19" x14ac:dyDescent="0.2">
      <c r="A20" s="96">
        <f t="shared" ca="1" si="6"/>
        <v>45515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>
        <f t="shared" ca="1" si="4"/>
        <v>0</v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frei</v>
      </c>
      <c r="N20" s="147"/>
      <c r="O20" s="82">
        <f t="shared" si="1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5"/>
        <v/>
      </c>
      <c r="S20" s="87">
        <f t="shared" ca="1" si="3"/>
        <v>0</v>
      </c>
    </row>
    <row r="21" spans="1:19" x14ac:dyDescent="0.2">
      <c r="A21" s="96">
        <f t="shared" ca="1" si="6"/>
        <v>45516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4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Mo</v>
      </c>
      <c r="N21" s="147"/>
      <c r="O21" s="82">
        <f t="shared" si="1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5"/>
        <v/>
      </c>
      <c r="S21" s="87">
        <f t="shared" ca="1" si="3"/>
        <v>0</v>
      </c>
    </row>
    <row r="22" spans="1:19" x14ac:dyDescent="0.2">
      <c r="A22" s="96">
        <f t="shared" ca="1" si="6"/>
        <v>45517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4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Di</v>
      </c>
      <c r="N22" s="147"/>
      <c r="O22" s="82">
        <f t="shared" si="1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5"/>
        <v/>
      </c>
      <c r="S22" s="87">
        <f t="shared" ca="1" si="3"/>
        <v>0</v>
      </c>
    </row>
    <row r="23" spans="1:19" x14ac:dyDescent="0.2">
      <c r="A23" s="96">
        <f t="shared" ca="1" si="6"/>
        <v>45518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4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Mi</v>
      </c>
      <c r="N23" s="147"/>
      <c r="O23" s="82">
        <f t="shared" si="1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5"/>
        <v/>
      </c>
      <c r="S23" s="87">
        <f t="shared" ca="1" si="3"/>
        <v>0</v>
      </c>
    </row>
    <row r="24" spans="1:19" x14ac:dyDescent="0.2">
      <c r="A24" s="96">
        <f t="shared" ca="1" si="6"/>
        <v>45519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 t="s">
        <v>35</v>
      </c>
      <c r="L24" s="95" t="str">
        <f t="shared" ca="1" si="4"/>
        <v/>
      </c>
      <c r="M24" s="159" t="str">
        <f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frei</v>
      </c>
      <c r="N24" s="147"/>
      <c r="O24" s="82">
        <f t="shared" si="1"/>
        <v>0</v>
      </c>
      <c r="P24" s="82">
        <f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si="2"/>
        <v>0</v>
      </c>
      <c r="R24" s="68" t="str">
        <f t="shared" si="5"/>
        <v/>
      </c>
      <c r="S24" s="87">
        <f t="shared" ca="1" si="3"/>
        <v>0</v>
      </c>
    </row>
    <row r="25" spans="1:19" x14ac:dyDescent="0.2">
      <c r="A25" s="96">
        <f t="shared" ca="1" si="6"/>
        <v>45520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4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Fr</v>
      </c>
      <c r="N25" s="147"/>
      <c r="O25" s="82">
        <f t="shared" si="1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5"/>
        <v/>
      </c>
      <c r="S25" s="87">
        <f t="shared" ca="1" si="3"/>
        <v>0</v>
      </c>
    </row>
    <row r="26" spans="1:19" x14ac:dyDescent="0.2">
      <c r="A26" s="96">
        <f t="shared" ca="1" si="6"/>
        <v>45521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4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frei</v>
      </c>
      <c r="N26" s="147"/>
      <c r="O26" s="82">
        <f t="shared" si="1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5"/>
        <v/>
      </c>
      <c r="S26" s="87">
        <f t="shared" ca="1" si="3"/>
        <v>0</v>
      </c>
    </row>
    <row r="27" spans="1:19" x14ac:dyDescent="0.2">
      <c r="A27" s="96">
        <f t="shared" ca="1" si="6"/>
        <v>45522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>
        <f t="shared" ca="1" si="4"/>
        <v>0</v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frei</v>
      </c>
      <c r="N27" s="147"/>
      <c r="O27" s="82">
        <f t="shared" si="1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5"/>
        <v/>
      </c>
      <c r="S27" s="87">
        <f t="shared" ca="1" si="3"/>
        <v>0</v>
      </c>
    </row>
    <row r="28" spans="1:19" x14ac:dyDescent="0.2">
      <c r="A28" s="96">
        <f t="shared" ca="1" si="6"/>
        <v>45523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4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Mo</v>
      </c>
      <c r="N28" s="147"/>
      <c r="O28" s="82">
        <f t="shared" si="1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5"/>
        <v/>
      </c>
      <c r="S28" s="87">
        <f t="shared" ca="1" si="3"/>
        <v>0</v>
      </c>
    </row>
    <row r="29" spans="1:19" x14ac:dyDescent="0.2">
      <c r="A29" s="96">
        <f t="shared" ca="1" si="6"/>
        <v>45524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4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Di</v>
      </c>
      <c r="N29" s="147"/>
      <c r="O29" s="82">
        <f t="shared" si="1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5"/>
        <v/>
      </c>
      <c r="S29" s="87">
        <f t="shared" ca="1" si="3"/>
        <v>0</v>
      </c>
    </row>
    <row r="30" spans="1:19" x14ac:dyDescent="0.2">
      <c r="A30" s="96">
        <f t="shared" ca="1" si="6"/>
        <v>45525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4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Mi</v>
      </c>
      <c r="N30" s="147"/>
      <c r="O30" s="82">
        <f t="shared" si="1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5"/>
        <v/>
      </c>
      <c r="S30" s="87">
        <f t="shared" ca="1" si="3"/>
        <v>0</v>
      </c>
    </row>
    <row r="31" spans="1:19" x14ac:dyDescent="0.2">
      <c r="A31" s="96">
        <f t="shared" ca="1" si="6"/>
        <v>45526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4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Do</v>
      </c>
      <c r="N31" s="147"/>
      <c r="O31" s="82">
        <f t="shared" si="1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5"/>
        <v/>
      </c>
      <c r="S31" s="87">
        <f t="shared" ca="1" si="3"/>
        <v>0</v>
      </c>
    </row>
    <row r="32" spans="1:19" x14ac:dyDescent="0.2">
      <c r="A32" s="96">
        <f t="shared" ca="1" si="6"/>
        <v>45527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4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Fr</v>
      </c>
      <c r="N32" s="147"/>
      <c r="O32" s="82">
        <f t="shared" si="1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5"/>
        <v/>
      </c>
      <c r="S32" s="87">
        <f t="shared" ca="1" si="3"/>
        <v>0</v>
      </c>
    </row>
    <row r="33" spans="1:19" x14ac:dyDescent="0.2">
      <c r="A33" s="96">
        <f t="shared" ca="1" si="6"/>
        <v>45528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4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frei</v>
      </c>
      <c r="N33" s="147"/>
      <c r="O33" s="82">
        <f t="shared" si="1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5"/>
        <v/>
      </c>
      <c r="S33" s="87">
        <f t="shared" ca="1" si="3"/>
        <v>0</v>
      </c>
    </row>
    <row r="34" spans="1:19" x14ac:dyDescent="0.2">
      <c r="A34" s="96">
        <f t="shared" ca="1" si="6"/>
        <v>45529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>
        <f t="shared" ca="1" si="4"/>
        <v>0</v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frei</v>
      </c>
      <c r="N34" s="147"/>
      <c r="O34" s="82">
        <f t="shared" si="1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5"/>
        <v/>
      </c>
      <c r="S34" s="87">
        <f t="shared" ca="1" si="3"/>
        <v>0</v>
      </c>
    </row>
    <row r="35" spans="1:19" x14ac:dyDescent="0.2">
      <c r="A35" s="96">
        <f t="shared" ca="1" si="6"/>
        <v>45530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4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Mo</v>
      </c>
      <c r="N35" s="147"/>
      <c r="O35" s="82">
        <f t="shared" si="1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2"/>
        <v>0</v>
      </c>
      <c r="R35" s="68" t="str">
        <f t="shared" ca="1" si="5"/>
        <v/>
      </c>
      <c r="S35" s="87">
        <f t="shared" ca="1" si="3"/>
        <v>0</v>
      </c>
    </row>
    <row r="36" spans="1:19" x14ac:dyDescent="0.2">
      <c r="A36" s="96">
        <f t="shared" ca="1" si="6"/>
        <v>45531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4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Di</v>
      </c>
      <c r="N36" s="147"/>
      <c r="O36" s="82">
        <f t="shared" si="1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5"/>
        <v/>
      </c>
      <c r="S36" s="87">
        <f t="shared" ca="1" si="3"/>
        <v>0</v>
      </c>
    </row>
    <row r="37" spans="1:19" x14ac:dyDescent="0.2">
      <c r="A37" s="96">
        <f t="shared" ca="1" si="6"/>
        <v>45532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4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Mi</v>
      </c>
      <c r="N37" s="147"/>
      <c r="O37" s="82">
        <f t="shared" si="1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5"/>
        <v/>
      </c>
      <c r="S37" s="87">
        <f t="shared" ca="1" si="3"/>
        <v>0</v>
      </c>
    </row>
    <row r="38" spans="1:19" x14ac:dyDescent="0.2">
      <c r="A38" s="96">
        <f t="shared" ca="1" si="6"/>
        <v>45533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4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Do</v>
      </c>
      <c r="N38" s="147"/>
      <c r="O38" s="82">
        <f t="shared" si="1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5"/>
        <v/>
      </c>
      <c r="S38" s="87">
        <f t="shared" ca="1" si="3"/>
        <v>0</v>
      </c>
    </row>
    <row r="39" spans="1:19" x14ac:dyDescent="0.2">
      <c r="A39" s="96">
        <f t="shared" ca="1" si="6"/>
        <v>45534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4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Fr</v>
      </c>
      <c r="N39" s="147"/>
      <c r="O39" s="82">
        <f t="shared" si="1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5"/>
        <v/>
      </c>
      <c r="S39" s="87">
        <f t="shared" ca="1" si="3"/>
        <v>0</v>
      </c>
    </row>
    <row r="40" spans="1:19" x14ac:dyDescent="0.2">
      <c r="A40" s="96">
        <f t="shared" ca="1" si="6"/>
        <v>45535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4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frei</v>
      </c>
      <c r="N40" s="147"/>
      <c r="O40" s="82">
        <f t="shared" si="1"/>
        <v>0</v>
      </c>
      <c r="P40" s="82">
        <f ca="1"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5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18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IF(OR(I43&gt;0,G5&gt;0,H5&gt;0),IF(AND(Jul!I43=0,Jul!G5=0,Jul!H5=0),Start!B40,Jul!L47),0)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4.7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3.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6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297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jNeLvepngYnYWzPROZYKgQpyQCHguhNNixWArh/Tz6goCTDB1XLj7F1DaKpa/PFGGKT8kRbmAT6ZIDpobRnV3w==" saltValue="curdcqbGTvWTVZERJFeLL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H39 J10:K39 J41:K41 A40 A41:H41">
    <cfRule type="expression" dxfId="278" priority="76">
      <formula>WEEKDAY($A10,2)&gt;5</formula>
    </cfRule>
  </conditionalFormatting>
  <conditionalFormatting sqref="I10:I39 I41">
    <cfRule type="expression" dxfId="277" priority="66">
      <formula>(G10-F10)&gt;6/24</formula>
    </cfRule>
    <cfRule type="expression" dxfId="276" priority="67">
      <formula>(E10-D10)&gt;6/24</formula>
    </cfRule>
    <cfRule type="expression" dxfId="275" priority="68">
      <formula>(C10-B10)&gt;6/24</formula>
    </cfRule>
    <cfRule type="expression" dxfId="274" priority="70">
      <formula>WEEKDAY($A10,2)&gt;5</formula>
    </cfRule>
  </conditionalFormatting>
  <conditionalFormatting sqref="I10:I39 I41">
    <cfRule type="cellIs" dxfId="273" priority="69" operator="greaterThan">
      <formula>0.416666666666667</formula>
    </cfRule>
  </conditionalFormatting>
  <conditionalFormatting sqref="L47">
    <cfRule type="cellIs" dxfId="272" priority="64" operator="greaterThan">
      <formula>40</formula>
    </cfRule>
  </conditionalFormatting>
  <conditionalFormatting sqref="L10:L39 L41">
    <cfRule type="expression" dxfId="271" priority="34">
      <formula>WEEKDAY($A10,2)&gt;5</formula>
    </cfRule>
  </conditionalFormatting>
  <conditionalFormatting sqref="L10:L39 L41">
    <cfRule type="cellIs" dxfId="270" priority="33" operator="greaterThan">
      <formula>2.08333333333333</formula>
    </cfRule>
  </conditionalFormatting>
  <conditionalFormatting sqref="L10:L39 L41">
    <cfRule type="expression" dxfId="269" priority="32">
      <formula>L10=""</formula>
    </cfRule>
  </conditionalFormatting>
  <conditionalFormatting sqref="A10:K39 A40 A41:K41">
    <cfRule type="expression" dxfId="268" priority="31">
      <formula>$M10="frei"</formula>
    </cfRule>
  </conditionalFormatting>
  <conditionalFormatting sqref="M10:M41">
    <cfRule type="expression" dxfId="267" priority="29">
      <formula>M10="FD"</formula>
    </cfRule>
    <cfRule type="expression" dxfId="266" priority="30">
      <formula>M10="frei"</formula>
    </cfRule>
  </conditionalFormatting>
  <conditionalFormatting sqref="A42">
    <cfRule type="expression" dxfId="265" priority="27">
      <formula>$M42="frei"</formula>
    </cfRule>
  </conditionalFormatting>
  <conditionalFormatting sqref="B40:F40 J40:K40 H40">
    <cfRule type="expression" dxfId="264" priority="26">
      <formula>WEEKDAY($A40,2)&gt;5</formula>
    </cfRule>
  </conditionalFormatting>
  <conditionalFormatting sqref="I40">
    <cfRule type="expression" dxfId="263" priority="21">
      <formula>(G40-F40)&gt;6/24</formula>
    </cfRule>
    <cfRule type="expression" dxfId="262" priority="22">
      <formula>(E40-D40)&gt;6/24</formula>
    </cfRule>
    <cfRule type="expression" dxfId="261" priority="23">
      <formula>(C40-B40)&gt;6/24</formula>
    </cfRule>
    <cfRule type="expression" dxfId="260" priority="25">
      <formula>WEEKDAY($A40,2)&gt;5</formula>
    </cfRule>
  </conditionalFormatting>
  <conditionalFormatting sqref="I40">
    <cfRule type="cellIs" dxfId="259" priority="24" operator="greaterThan">
      <formula>0.416666666666667</formula>
    </cfRule>
  </conditionalFormatting>
  <conditionalFormatting sqref="B40:F40 H40:K40">
    <cfRule type="expression" dxfId="258" priority="17">
      <formula>$M40="frei"</formula>
    </cfRule>
  </conditionalFormatting>
  <conditionalFormatting sqref="G40">
    <cfRule type="expression" dxfId="257" priority="16">
      <formula>WEEKDAY($A40,2)&gt;5</formula>
    </cfRule>
  </conditionalFormatting>
  <conditionalFormatting sqref="G40">
    <cfRule type="expression" dxfId="256" priority="15">
      <formula>$M40="frei"</formula>
    </cfRule>
  </conditionalFormatting>
  <conditionalFormatting sqref="L40">
    <cfRule type="expression" dxfId="255" priority="14">
      <formula>WEEKDAY($A40,2)&gt;5</formula>
    </cfRule>
  </conditionalFormatting>
  <conditionalFormatting sqref="L40">
    <cfRule type="cellIs" dxfId="254" priority="13" operator="greaterThan">
      <formula>2.08333333333333</formula>
    </cfRule>
  </conditionalFormatting>
  <conditionalFormatting sqref="L40">
    <cfRule type="expression" dxfId="253" priority="12">
      <formula>L40=""</formula>
    </cfRule>
  </conditionalFormatting>
  <conditionalFormatting sqref="J43 L43">
    <cfRule type="expression" dxfId="252" priority="9">
      <formula>WEEKDAY($A43,2)&gt;5</formula>
    </cfRule>
  </conditionalFormatting>
  <conditionalFormatting sqref="J43 L43">
    <cfRule type="expression" dxfId="251" priority="8">
      <formula>$M43="frei"</formula>
    </cfRule>
  </conditionalFormatting>
  <conditionalFormatting sqref="J42 L42">
    <cfRule type="expression" dxfId="250" priority="7">
      <formula>WEEKDAY($A42,2)&gt;5</formula>
    </cfRule>
  </conditionalFormatting>
  <conditionalFormatting sqref="J42 L42">
    <cfRule type="expression" dxfId="249" priority="6">
      <formula>$M42="frei"</formula>
    </cfRule>
  </conditionalFormatting>
  <conditionalFormatting sqref="K42">
    <cfRule type="expression" dxfId="248" priority="5">
      <formula>WEEKDAY($A42,2)&gt;5</formula>
    </cfRule>
  </conditionalFormatting>
  <conditionalFormatting sqref="K42">
    <cfRule type="expression" dxfId="247" priority="4">
      <formula>$M42="frei"</formula>
    </cfRule>
  </conditionalFormatting>
  <conditionalFormatting sqref="K43">
    <cfRule type="expression" dxfId="246" priority="3">
      <formula>WEEKDAY($A43,2)&gt;5</formula>
    </cfRule>
  </conditionalFormatting>
  <conditionalFormatting sqref="K43">
    <cfRule type="expression" dxfId="245" priority="2">
      <formula>$M43="frei"</formula>
    </cfRule>
  </conditionalFormatting>
  <conditionalFormatting sqref="I46">
    <cfRule type="expression" dxfId="244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14" zoomScaleNormal="100" workbookViewId="0">
      <selection activeCell="K34" sqref="K34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570312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14062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9.57031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45536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+Aug!L7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21</v>
      </c>
      <c r="E5" s="74">
        <f>Start!B29</f>
        <v>0.33333333333333331</v>
      </c>
      <c r="F5" s="74">
        <f ca="1">+D5*E5</f>
        <v>7</v>
      </c>
      <c r="G5" s="74">
        <f>+L6*E5</f>
        <v>0</v>
      </c>
      <c r="H5" s="74">
        <f>SUM(J10:J40)</f>
        <v>0</v>
      </c>
      <c r="I5" s="74">
        <f ca="1">+F5-G5-H5</f>
        <v>7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45536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95">
        <f ca="1">IF(TEXT(A10,"TTT")="So",SUM(I10),"")</f>
        <v>0</v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40" si="1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45537</v>
      </c>
      <c r="B11" s="75"/>
      <c r="C11" s="72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ca="1">IF(TEXT(A11,"TTT")="So",SUM(I10:I11),"")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Mo</v>
      </c>
      <c r="N11" s="147"/>
      <c r="O11" s="82">
        <f t="shared" si="1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4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5">IF(A11="","",IF(MONTH(A11+1)=MONTH($A$10),A11+1,""))</f>
        <v>45538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ca="1">IF(TEXT(A12,"TTT")="So",SUM(I10:I12),"")</f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Di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4"/>
        <v/>
      </c>
      <c r="S12" s="87">
        <f t="shared" ca="1" si="3"/>
        <v>0</v>
      </c>
    </row>
    <row r="13" spans="1:21" x14ac:dyDescent="0.2">
      <c r="A13" s="96">
        <f t="shared" ca="1" si="5"/>
        <v>45539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/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Mi</v>
      </c>
      <c r="N13" s="147"/>
      <c r="O13" s="82">
        <f t="shared" si="1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4"/>
        <v/>
      </c>
      <c r="S13" s="87">
        <f t="shared" ca="1" si="3"/>
        <v>0</v>
      </c>
    </row>
    <row r="14" spans="1:21" x14ac:dyDescent="0.2">
      <c r="A14" s="96">
        <f t="shared" ca="1" si="5"/>
        <v>45540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/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Do</v>
      </c>
      <c r="N14" s="147"/>
      <c r="O14" s="82">
        <f t="shared" si="1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4"/>
        <v/>
      </c>
      <c r="S14" s="87">
        <f t="shared" ca="1" si="3"/>
        <v>0</v>
      </c>
    </row>
    <row r="15" spans="1:21" x14ac:dyDescent="0.2">
      <c r="A15" s="96">
        <f t="shared" ca="1" si="5"/>
        <v>45541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ref="L15:L40" ca="1" si="6">IF(TEXT(A15,"TTT")="So",SUM(I9:I15),"")</f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Fr</v>
      </c>
      <c r="N15" s="147"/>
      <c r="O15" s="82">
        <f t="shared" si="1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4"/>
        <v/>
      </c>
      <c r="S15" s="87">
        <f t="shared" ca="1" si="3"/>
        <v>0</v>
      </c>
    </row>
    <row r="16" spans="1:21" x14ac:dyDescent="0.2">
      <c r="A16" s="96">
        <f t="shared" ca="1" si="5"/>
        <v>45542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6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frei</v>
      </c>
      <c r="N16" s="147"/>
      <c r="O16" s="82">
        <f t="shared" si="1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4"/>
        <v/>
      </c>
      <c r="S16" s="87">
        <f t="shared" ca="1" si="3"/>
        <v>0</v>
      </c>
    </row>
    <row r="17" spans="1:19" x14ac:dyDescent="0.2">
      <c r="A17" s="96">
        <f t="shared" ca="1" si="5"/>
        <v>45543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>
        <f t="shared" ca="1" si="6"/>
        <v>0</v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frei</v>
      </c>
      <c r="N17" s="147"/>
      <c r="O17" s="82">
        <f t="shared" si="1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4"/>
        <v/>
      </c>
      <c r="S17" s="87">
        <f t="shared" ca="1" si="3"/>
        <v>0</v>
      </c>
    </row>
    <row r="18" spans="1:19" x14ac:dyDescent="0.2">
      <c r="A18" s="96">
        <f t="shared" ca="1" si="5"/>
        <v>45544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6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Mo</v>
      </c>
      <c r="N18" s="147"/>
      <c r="O18" s="82">
        <f t="shared" si="1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4"/>
        <v/>
      </c>
      <c r="S18" s="87">
        <f t="shared" ca="1" si="3"/>
        <v>0</v>
      </c>
    </row>
    <row r="19" spans="1:19" x14ac:dyDescent="0.2">
      <c r="A19" s="96">
        <f t="shared" ca="1" si="5"/>
        <v>45545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6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Di</v>
      </c>
      <c r="N19" s="147"/>
      <c r="O19" s="82">
        <f t="shared" si="1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4"/>
        <v/>
      </c>
      <c r="S19" s="87">
        <f t="shared" ca="1" si="3"/>
        <v>0</v>
      </c>
    </row>
    <row r="20" spans="1:19" x14ac:dyDescent="0.2">
      <c r="A20" s="96">
        <f t="shared" ca="1" si="5"/>
        <v>45546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6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Mi</v>
      </c>
      <c r="N20" s="147"/>
      <c r="O20" s="82">
        <f t="shared" si="1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4"/>
        <v/>
      </c>
      <c r="S20" s="87">
        <f t="shared" ca="1" si="3"/>
        <v>0</v>
      </c>
    </row>
    <row r="21" spans="1:19" x14ac:dyDescent="0.2">
      <c r="A21" s="96">
        <f t="shared" ca="1" si="5"/>
        <v>45547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6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Do</v>
      </c>
      <c r="N21" s="147"/>
      <c r="O21" s="82">
        <f t="shared" si="1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4"/>
        <v/>
      </c>
      <c r="S21" s="87">
        <f t="shared" ca="1" si="3"/>
        <v>0</v>
      </c>
    </row>
    <row r="22" spans="1:19" x14ac:dyDescent="0.2">
      <c r="A22" s="96">
        <f t="shared" ca="1" si="5"/>
        <v>45548</v>
      </c>
      <c r="B22" s="75"/>
      <c r="C22" s="72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6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Fr</v>
      </c>
      <c r="N22" s="147"/>
      <c r="O22" s="82">
        <f t="shared" si="1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4"/>
        <v/>
      </c>
      <c r="S22" s="87">
        <f t="shared" ca="1" si="3"/>
        <v>0</v>
      </c>
    </row>
    <row r="23" spans="1:19" x14ac:dyDescent="0.2">
      <c r="A23" s="96">
        <f t="shared" ca="1" si="5"/>
        <v>45549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6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frei</v>
      </c>
      <c r="N23" s="147"/>
      <c r="O23" s="82">
        <f t="shared" si="1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4"/>
        <v/>
      </c>
      <c r="S23" s="87">
        <f t="shared" ca="1" si="3"/>
        <v>0</v>
      </c>
    </row>
    <row r="24" spans="1:19" x14ac:dyDescent="0.2">
      <c r="A24" s="96">
        <f t="shared" ca="1" si="5"/>
        <v>45550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>
        <f t="shared" ca="1" si="6"/>
        <v>0</v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frei</v>
      </c>
      <c r="N24" s="147"/>
      <c r="O24" s="82">
        <f t="shared" si="1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4"/>
        <v/>
      </c>
      <c r="S24" s="87">
        <f t="shared" ca="1" si="3"/>
        <v>0</v>
      </c>
    </row>
    <row r="25" spans="1:19" x14ac:dyDescent="0.2">
      <c r="A25" s="96">
        <f t="shared" ca="1" si="5"/>
        <v>45551</v>
      </c>
      <c r="B25" s="75"/>
      <c r="C25" s="72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6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Mo</v>
      </c>
      <c r="N25" s="147"/>
      <c r="O25" s="82">
        <f t="shared" si="1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4"/>
        <v/>
      </c>
      <c r="S25" s="87">
        <f t="shared" ca="1" si="3"/>
        <v>0</v>
      </c>
    </row>
    <row r="26" spans="1:19" x14ac:dyDescent="0.2">
      <c r="A26" s="96">
        <f t="shared" ca="1" si="5"/>
        <v>45552</v>
      </c>
      <c r="B26" s="75"/>
      <c r="C26" s="72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6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Di</v>
      </c>
      <c r="N26" s="147"/>
      <c r="O26" s="82">
        <f t="shared" si="1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4"/>
        <v/>
      </c>
      <c r="S26" s="87">
        <f t="shared" ca="1" si="3"/>
        <v>0</v>
      </c>
    </row>
    <row r="27" spans="1:19" x14ac:dyDescent="0.2">
      <c r="A27" s="96">
        <f t="shared" ca="1" si="5"/>
        <v>45553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6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Mi</v>
      </c>
      <c r="N27" s="147"/>
      <c r="O27" s="82">
        <f t="shared" si="1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4"/>
        <v/>
      </c>
      <c r="S27" s="87">
        <f t="shared" ca="1" si="3"/>
        <v>0</v>
      </c>
    </row>
    <row r="28" spans="1:19" x14ac:dyDescent="0.2">
      <c r="A28" s="96">
        <f t="shared" ca="1" si="5"/>
        <v>45554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6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Do</v>
      </c>
      <c r="N28" s="147"/>
      <c r="O28" s="82">
        <f t="shared" si="1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4"/>
        <v/>
      </c>
      <c r="S28" s="87">
        <f t="shared" ca="1" si="3"/>
        <v>0</v>
      </c>
    </row>
    <row r="29" spans="1:19" x14ac:dyDescent="0.2">
      <c r="A29" s="96">
        <f t="shared" ca="1" si="5"/>
        <v>45555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6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</v>
      </c>
      <c r="N29" s="147"/>
      <c r="O29" s="82">
        <f t="shared" si="1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4"/>
        <v/>
      </c>
      <c r="S29" s="87">
        <f t="shared" ca="1" si="3"/>
        <v>0</v>
      </c>
    </row>
    <row r="30" spans="1:19" x14ac:dyDescent="0.2">
      <c r="A30" s="96">
        <f t="shared" ca="1" si="5"/>
        <v>45556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6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frei</v>
      </c>
      <c r="N30" s="147"/>
      <c r="O30" s="82">
        <f t="shared" si="1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4"/>
        <v/>
      </c>
      <c r="S30" s="87">
        <f t="shared" ca="1" si="3"/>
        <v>0</v>
      </c>
    </row>
    <row r="31" spans="1:19" x14ac:dyDescent="0.2">
      <c r="A31" s="96">
        <f t="shared" ca="1" si="5"/>
        <v>45557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>
        <f t="shared" ca="1" si="6"/>
        <v>0</v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frei</v>
      </c>
      <c r="N31" s="147"/>
      <c r="O31" s="82">
        <f t="shared" si="1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4"/>
        <v/>
      </c>
      <c r="S31" s="87">
        <f t="shared" ca="1" si="3"/>
        <v>0</v>
      </c>
    </row>
    <row r="32" spans="1:19" x14ac:dyDescent="0.2">
      <c r="A32" s="96">
        <f t="shared" ca="1" si="5"/>
        <v>45558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6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Mo</v>
      </c>
      <c r="N32" s="147"/>
      <c r="O32" s="82">
        <f t="shared" si="1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4"/>
        <v/>
      </c>
      <c r="S32" s="87">
        <f t="shared" ca="1" si="3"/>
        <v>0</v>
      </c>
    </row>
    <row r="33" spans="1:19" x14ac:dyDescent="0.2">
      <c r="A33" s="96">
        <f t="shared" ca="1" si="5"/>
        <v>45559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 t="s">
        <v>220</v>
      </c>
      <c r="L33" s="95" t="str">
        <f t="shared" ca="1" si="6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Di</v>
      </c>
      <c r="N33" s="147"/>
      <c r="O33" s="82">
        <f t="shared" si="1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4"/>
        <v/>
      </c>
      <c r="S33" s="87">
        <f t="shared" ca="1" si="3"/>
        <v>0</v>
      </c>
    </row>
    <row r="34" spans="1:19" x14ac:dyDescent="0.2">
      <c r="A34" s="96">
        <f t="shared" ca="1" si="5"/>
        <v>45560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6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Mi</v>
      </c>
      <c r="N34" s="147"/>
      <c r="O34" s="82">
        <f t="shared" si="1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4"/>
        <v/>
      </c>
      <c r="S34" s="87">
        <f t="shared" ca="1" si="3"/>
        <v>0</v>
      </c>
    </row>
    <row r="35" spans="1:19" x14ac:dyDescent="0.2">
      <c r="A35" s="96">
        <f t="shared" ca="1" si="5"/>
        <v>45561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6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Do</v>
      </c>
      <c r="N35" s="147"/>
      <c r="O35" s="82">
        <f t="shared" si="1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2"/>
        <v>0</v>
      </c>
      <c r="R35" s="68" t="str">
        <f t="shared" ca="1" si="4"/>
        <v/>
      </c>
      <c r="S35" s="87">
        <f t="shared" ca="1" si="3"/>
        <v>0</v>
      </c>
    </row>
    <row r="36" spans="1:19" x14ac:dyDescent="0.2">
      <c r="A36" s="96">
        <f t="shared" ca="1" si="5"/>
        <v>45562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6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Fr</v>
      </c>
      <c r="N36" s="147"/>
      <c r="O36" s="82">
        <f t="shared" si="1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4"/>
        <v/>
      </c>
      <c r="S36" s="87">
        <f t="shared" ca="1" si="3"/>
        <v>0</v>
      </c>
    </row>
    <row r="37" spans="1:19" x14ac:dyDescent="0.2">
      <c r="A37" s="96">
        <f t="shared" ca="1" si="5"/>
        <v>45563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6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frei</v>
      </c>
      <c r="N37" s="147"/>
      <c r="O37" s="82">
        <f t="shared" si="1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4"/>
        <v/>
      </c>
      <c r="S37" s="87">
        <f t="shared" ca="1" si="3"/>
        <v>0</v>
      </c>
    </row>
    <row r="38" spans="1:19" x14ac:dyDescent="0.2">
      <c r="A38" s="96">
        <f t="shared" ca="1" si="5"/>
        <v>45564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>
        <f t="shared" ca="1" si="6"/>
        <v>0</v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frei</v>
      </c>
      <c r="N38" s="147"/>
      <c r="O38" s="82">
        <f t="shared" si="1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4"/>
        <v/>
      </c>
      <c r="S38" s="87">
        <f t="shared" ca="1" si="3"/>
        <v>0</v>
      </c>
    </row>
    <row r="39" spans="1:19" x14ac:dyDescent="0.2">
      <c r="A39" s="96">
        <f t="shared" ca="1" si="5"/>
        <v>45565</v>
      </c>
      <c r="B39" s="75"/>
      <c r="C39" s="72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6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Mo</v>
      </c>
      <c r="N39" s="147"/>
      <c r="O39" s="82">
        <f t="shared" si="1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4"/>
        <v/>
      </c>
      <c r="S39" s="87">
        <f t="shared" ca="1" si="3"/>
        <v>0</v>
      </c>
    </row>
    <row r="40" spans="1:19" x14ac:dyDescent="0.2">
      <c r="A40" s="289" t="str">
        <f t="shared" ca="1" si="5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6"/>
        <v/>
      </c>
      <c r="M40" s="159"/>
      <c r="N40" s="147"/>
      <c r="O40" s="82">
        <f t="shared" si="1"/>
        <v>0</v>
      </c>
      <c r="P40" s="82">
        <f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si="2"/>
        <v>0</v>
      </c>
      <c r="R40" s="68" t="str">
        <f t="shared" si="4"/>
        <v/>
      </c>
      <c r="S40" s="87">
        <f t="shared" ca="1" si="3"/>
        <v>0</v>
      </c>
    </row>
    <row r="41" spans="1:19" ht="4.5" customHeight="1" x14ac:dyDescent="0.2">
      <c r="A41" s="303"/>
      <c r="B41" s="280"/>
      <c r="C41" s="281"/>
      <c r="D41" s="281"/>
      <c r="E41" s="281"/>
      <c r="F41" s="280"/>
      <c r="G41" s="280"/>
      <c r="H41" s="281"/>
      <c r="I41" s="278"/>
      <c r="J41" s="281"/>
      <c r="K41" s="282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IF(OR(I43&gt;0,G5&gt;0,H5&gt;0),IF(AND(Aug!I43=0,Aug!G5=0,Aug!H5=0),Start!B40,Aug!L47),0)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2.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5.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password="DB57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H10 J10:K39 J41:K41 A41:H41 A39:A40 D39:H39 A37:H38 A32:A35 A30:H31 A25:A29 D25:H29 A23:H24 A18:A22 D18:H22 A16:H17 A11:A15 D11:H15 A36:B36 D32:H36">
    <cfRule type="expression" dxfId="243" priority="180">
      <formula>WEEKDAY($A10,2)&gt;5</formula>
    </cfRule>
  </conditionalFormatting>
  <conditionalFormatting sqref="I10:I14 I16:I39 I41">
    <cfRule type="expression" dxfId="242" priority="170">
      <formula>(G10-F10)&gt;6/24</formula>
    </cfRule>
    <cfRule type="expression" dxfId="241" priority="171">
      <formula>(E10-D10)&gt;6/24</formula>
    </cfRule>
    <cfRule type="expression" dxfId="240" priority="172">
      <formula>(C10-B10)&gt;6/24</formula>
    </cfRule>
    <cfRule type="expression" dxfId="239" priority="174">
      <formula>WEEKDAY($A10,2)&gt;5</formula>
    </cfRule>
  </conditionalFormatting>
  <conditionalFormatting sqref="I10:I14 I16:I39 I41">
    <cfRule type="cellIs" dxfId="238" priority="173" operator="greaterThan">
      <formula>0.416666666666667</formula>
    </cfRule>
  </conditionalFormatting>
  <conditionalFormatting sqref="I15">
    <cfRule type="expression" dxfId="237" priority="154">
      <formula>(G15-F15)&gt;6/24</formula>
    </cfRule>
    <cfRule type="expression" dxfId="236" priority="155">
      <formula>(E15-D15)&gt;6/24</formula>
    </cfRule>
    <cfRule type="expression" dxfId="235" priority="156">
      <formula>(C15-B15)&gt;6/24</formula>
    </cfRule>
    <cfRule type="expression" dxfId="234" priority="158">
      <formula>WEEKDAY($A15,2)&gt;5</formula>
    </cfRule>
  </conditionalFormatting>
  <conditionalFormatting sqref="I15">
    <cfRule type="cellIs" dxfId="233" priority="157" operator="greaterThan">
      <formula>0.416666666666667</formula>
    </cfRule>
  </conditionalFormatting>
  <conditionalFormatting sqref="L47">
    <cfRule type="cellIs" dxfId="232" priority="152" operator="greaterThan">
      <formula>80</formula>
    </cfRule>
  </conditionalFormatting>
  <conditionalFormatting sqref="L41 L10:L39">
    <cfRule type="expression" dxfId="231" priority="116">
      <formula>WEEKDAY($A10,2)&gt;5</formula>
    </cfRule>
  </conditionalFormatting>
  <conditionalFormatting sqref="L41 L10:L39">
    <cfRule type="cellIs" dxfId="230" priority="115" operator="greaterThan">
      <formula>2.08333333333333</formula>
    </cfRule>
  </conditionalFormatting>
  <conditionalFormatting sqref="L41 L10:L39">
    <cfRule type="expression" dxfId="229" priority="114">
      <formula>L10=""</formula>
    </cfRule>
  </conditionalFormatting>
  <conditionalFormatting sqref="A10:K10 A41:K41 A39:A40 D39:K39 A37:K38 A32:A35 A30:K31 A25:A29 D25:K29 A23:K24 A18:A22 D18:K22 A16:K17 A11:A15 D11:K15 A36:B36 D32:K36">
    <cfRule type="expression" dxfId="228" priority="113">
      <formula>$M10="frei"</formula>
    </cfRule>
  </conditionalFormatting>
  <conditionalFormatting sqref="M10:M40">
    <cfRule type="expression" dxfId="227" priority="111">
      <formula>M10="FD"</formula>
    </cfRule>
    <cfRule type="expression" dxfId="226" priority="112">
      <formula>M10="frei"</formula>
    </cfRule>
  </conditionalFormatting>
  <conditionalFormatting sqref="M41">
    <cfRule type="expression" dxfId="225" priority="109">
      <formula>M41="FD"</formula>
    </cfRule>
    <cfRule type="expression" dxfId="224" priority="110">
      <formula>M41="frei"</formula>
    </cfRule>
  </conditionalFormatting>
  <conditionalFormatting sqref="A42">
    <cfRule type="expression" dxfId="223" priority="107">
      <formula>$M42="frei"</formula>
    </cfRule>
  </conditionalFormatting>
  <conditionalFormatting sqref="B40:F40 J40:K40 H40">
    <cfRule type="expression" dxfId="222" priority="106">
      <formula>WEEKDAY($A40,2)&gt;5</formula>
    </cfRule>
  </conditionalFormatting>
  <conditionalFormatting sqref="I40">
    <cfRule type="expression" dxfId="221" priority="101">
      <formula>(G40-F40)&gt;6/24</formula>
    </cfRule>
    <cfRule type="expression" dxfId="220" priority="102">
      <formula>(E40-D40)&gt;6/24</formula>
    </cfRule>
    <cfRule type="expression" dxfId="219" priority="103">
      <formula>(C40-B40)&gt;6/24</formula>
    </cfRule>
    <cfRule type="expression" dxfId="218" priority="105">
      <formula>WEEKDAY($A40,2)&gt;5</formula>
    </cfRule>
  </conditionalFormatting>
  <conditionalFormatting sqref="I40">
    <cfRule type="cellIs" dxfId="217" priority="104" operator="greaterThan">
      <formula>0.416666666666667</formula>
    </cfRule>
  </conditionalFormatting>
  <conditionalFormatting sqref="B40:F40 H40:K40">
    <cfRule type="expression" dxfId="216" priority="97">
      <formula>$M40="frei"</formula>
    </cfRule>
  </conditionalFormatting>
  <conditionalFormatting sqref="G40">
    <cfRule type="expression" dxfId="215" priority="96">
      <formula>WEEKDAY($A40,2)&gt;5</formula>
    </cfRule>
  </conditionalFormatting>
  <conditionalFormatting sqref="G40">
    <cfRule type="expression" dxfId="214" priority="95">
      <formula>$M40="frei"</formula>
    </cfRule>
  </conditionalFormatting>
  <conditionalFormatting sqref="L40">
    <cfRule type="expression" dxfId="213" priority="94">
      <formula>WEEKDAY($A40,2)&gt;5</formula>
    </cfRule>
  </conditionalFormatting>
  <conditionalFormatting sqref="L40">
    <cfRule type="cellIs" dxfId="212" priority="93" operator="greaterThan">
      <formula>2.08333333333333</formula>
    </cfRule>
  </conditionalFormatting>
  <conditionalFormatting sqref="L40">
    <cfRule type="expression" dxfId="211" priority="92">
      <formula>L40=""</formula>
    </cfRule>
  </conditionalFormatting>
  <conditionalFormatting sqref="J43 L43">
    <cfRule type="expression" dxfId="210" priority="89">
      <formula>WEEKDAY($A43,2)&gt;5</formula>
    </cfRule>
  </conditionalFormatting>
  <conditionalFormatting sqref="J43 L43">
    <cfRule type="expression" dxfId="209" priority="88">
      <formula>$M43="frei"</formula>
    </cfRule>
  </conditionalFormatting>
  <conditionalFormatting sqref="J42 L42">
    <cfRule type="expression" dxfId="208" priority="87">
      <formula>WEEKDAY($A42,2)&gt;5</formula>
    </cfRule>
  </conditionalFormatting>
  <conditionalFormatting sqref="J42 L42">
    <cfRule type="expression" dxfId="207" priority="86">
      <formula>$M42="frei"</formula>
    </cfRule>
  </conditionalFormatting>
  <conditionalFormatting sqref="K42">
    <cfRule type="expression" dxfId="206" priority="85">
      <formula>WEEKDAY($A42,2)&gt;5</formula>
    </cfRule>
  </conditionalFormatting>
  <conditionalFormatting sqref="K42">
    <cfRule type="expression" dxfId="205" priority="84">
      <formula>$M42="frei"</formula>
    </cfRule>
  </conditionalFormatting>
  <conditionalFormatting sqref="K43">
    <cfRule type="expression" dxfId="204" priority="83">
      <formula>WEEKDAY($A43,2)&gt;5</formula>
    </cfRule>
  </conditionalFormatting>
  <conditionalFormatting sqref="K43">
    <cfRule type="expression" dxfId="203" priority="82">
      <formula>$M43="frei"</formula>
    </cfRule>
  </conditionalFormatting>
  <conditionalFormatting sqref="I46">
    <cfRule type="expression" dxfId="202" priority="81">
      <formula>$I$46&gt;0</formula>
    </cfRule>
  </conditionalFormatting>
  <conditionalFormatting sqref="B39">
    <cfRule type="expression" dxfId="201" priority="80">
      <formula>WEEKDAY($A39,2)&gt;5</formula>
    </cfRule>
  </conditionalFormatting>
  <conditionalFormatting sqref="B39">
    <cfRule type="expression" dxfId="200" priority="79">
      <formula>$M39="frei"</formula>
    </cfRule>
  </conditionalFormatting>
  <conditionalFormatting sqref="B35">
    <cfRule type="expression" dxfId="199" priority="78">
      <formula>WEEKDAY($A35,2)&gt;5</formula>
    </cfRule>
  </conditionalFormatting>
  <conditionalFormatting sqref="B35">
    <cfRule type="expression" dxfId="198" priority="77">
      <formula>$M35="frei"</formula>
    </cfRule>
  </conditionalFormatting>
  <conditionalFormatting sqref="B34">
    <cfRule type="expression" dxfId="197" priority="76">
      <formula>WEEKDAY($A34,2)&gt;5</formula>
    </cfRule>
  </conditionalFormatting>
  <conditionalFormatting sqref="B34">
    <cfRule type="expression" dxfId="196" priority="75">
      <formula>$M34="frei"</formula>
    </cfRule>
  </conditionalFormatting>
  <conditionalFormatting sqref="B33">
    <cfRule type="expression" dxfId="195" priority="74">
      <formula>WEEKDAY($A33,2)&gt;5</formula>
    </cfRule>
  </conditionalFormatting>
  <conditionalFormatting sqref="B33">
    <cfRule type="expression" dxfId="194" priority="73">
      <formula>$M33="frei"</formula>
    </cfRule>
  </conditionalFormatting>
  <conditionalFormatting sqref="B32">
    <cfRule type="expression" dxfId="193" priority="72">
      <formula>WEEKDAY($A32,2)&gt;5</formula>
    </cfRule>
  </conditionalFormatting>
  <conditionalFormatting sqref="B32">
    <cfRule type="expression" dxfId="192" priority="71">
      <formula>$M32="frei"</formula>
    </cfRule>
  </conditionalFormatting>
  <conditionalFormatting sqref="B29">
    <cfRule type="expression" dxfId="191" priority="70">
      <formula>WEEKDAY($A29,2)&gt;5</formula>
    </cfRule>
  </conditionalFormatting>
  <conditionalFormatting sqref="B29">
    <cfRule type="expression" dxfId="190" priority="69">
      <formula>$M29="frei"</formula>
    </cfRule>
  </conditionalFormatting>
  <conditionalFormatting sqref="B28">
    <cfRule type="expression" dxfId="189" priority="68">
      <formula>WEEKDAY($A28,2)&gt;5</formula>
    </cfRule>
  </conditionalFormatting>
  <conditionalFormatting sqref="B28">
    <cfRule type="expression" dxfId="188" priority="67">
      <formula>$M28="frei"</formula>
    </cfRule>
  </conditionalFormatting>
  <conditionalFormatting sqref="B27">
    <cfRule type="expression" dxfId="187" priority="66">
      <formula>WEEKDAY($A27,2)&gt;5</formula>
    </cfRule>
  </conditionalFormatting>
  <conditionalFormatting sqref="B27">
    <cfRule type="expression" dxfId="186" priority="65">
      <formula>$M27="frei"</formula>
    </cfRule>
  </conditionalFormatting>
  <conditionalFormatting sqref="B26">
    <cfRule type="expression" dxfId="185" priority="64">
      <formula>WEEKDAY($A26,2)&gt;5</formula>
    </cfRule>
  </conditionalFormatting>
  <conditionalFormatting sqref="B26">
    <cfRule type="expression" dxfId="184" priority="63">
      <formula>$M26="frei"</formula>
    </cfRule>
  </conditionalFormatting>
  <conditionalFormatting sqref="B25">
    <cfRule type="expression" dxfId="183" priority="62">
      <formula>WEEKDAY($A25,2)&gt;5</formula>
    </cfRule>
  </conditionalFormatting>
  <conditionalFormatting sqref="B25">
    <cfRule type="expression" dxfId="182" priority="61">
      <formula>$M25="frei"</formula>
    </cfRule>
  </conditionalFormatting>
  <conditionalFormatting sqref="B22">
    <cfRule type="expression" dxfId="181" priority="60">
      <formula>WEEKDAY($A22,2)&gt;5</formula>
    </cfRule>
  </conditionalFormatting>
  <conditionalFormatting sqref="B22">
    <cfRule type="expression" dxfId="180" priority="59">
      <formula>$M22="frei"</formula>
    </cfRule>
  </conditionalFormatting>
  <conditionalFormatting sqref="B21">
    <cfRule type="expression" dxfId="179" priority="58">
      <formula>WEEKDAY($A21,2)&gt;5</formula>
    </cfRule>
  </conditionalFormatting>
  <conditionalFormatting sqref="B21">
    <cfRule type="expression" dxfId="178" priority="57">
      <formula>$M21="frei"</formula>
    </cfRule>
  </conditionalFormatting>
  <conditionalFormatting sqref="B20">
    <cfRule type="expression" dxfId="177" priority="56">
      <formula>WEEKDAY($A20,2)&gt;5</formula>
    </cfRule>
  </conditionalFormatting>
  <conditionalFormatting sqref="B20">
    <cfRule type="expression" dxfId="176" priority="55">
      <formula>$M20="frei"</formula>
    </cfRule>
  </conditionalFormatting>
  <conditionalFormatting sqref="B19">
    <cfRule type="expression" dxfId="175" priority="54">
      <formula>WEEKDAY($A19,2)&gt;5</formula>
    </cfRule>
  </conditionalFormatting>
  <conditionalFormatting sqref="B19">
    <cfRule type="expression" dxfId="174" priority="53">
      <formula>$M19="frei"</formula>
    </cfRule>
  </conditionalFormatting>
  <conditionalFormatting sqref="B18">
    <cfRule type="expression" dxfId="173" priority="52">
      <formula>WEEKDAY($A18,2)&gt;5</formula>
    </cfRule>
  </conditionalFormatting>
  <conditionalFormatting sqref="B18">
    <cfRule type="expression" dxfId="172" priority="51">
      <formula>$M18="frei"</formula>
    </cfRule>
  </conditionalFormatting>
  <conditionalFormatting sqref="B15">
    <cfRule type="expression" dxfId="171" priority="50">
      <formula>WEEKDAY($A15,2)&gt;5</formula>
    </cfRule>
  </conditionalFormatting>
  <conditionalFormatting sqref="B15">
    <cfRule type="expression" dxfId="170" priority="49">
      <formula>$M15="frei"</formula>
    </cfRule>
  </conditionalFormatting>
  <conditionalFormatting sqref="B14">
    <cfRule type="expression" dxfId="169" priority="48">
      <formula>WEEKDAY($A14,2)&gt;5</formula>
    </cfRule>
  </conditionalFormatting>
  <conditionalFormatting sqref="B14">
    <cfRule type="expression" dxfId="168" priority="47">
      <formula>$M14="frei"</formula>
    </cfRule>
  </conditionalFormatting>
  <conditionalFormatting sqref="B13">
    <cfRule type="expression" dxfId="167" priority="46">
      <formula>WEEKDAY($A13,2)&gt;5</formula>
    </cfRule>
  </conditionalFormatting>
  <conditionalFormatting sqref="B13">
    <cfRule type="expression" dxfId="166" priority="45">
      <formula>$M13="frei"</formula>
    </cfRule>
  </conditionalFormatting>
  <conditionalFormatting sqref="B12">
    <cfRule type="expression" dxfId="165" priority="44">
      <formula>WEEKDAY($A12,2)&gt;5</formula>
    </cfRule>
  </conditionalFormatting>
  <conditionalFormatting sqref="B12">
    <cfRule type="expression" dxfId="164" priority="43">
      <formula>$M12="frei"</formula>
    </cfRule>
  </conditionalFormatting>
  <conditionalFormatting sqref="B11:C11">
    <cfRule type="expression" dxfId="163" priority="42">
      <formula>WEEKDAY($A11,2)&gt;5</formula>
    </cfRule>
  </conditionalFormatting>
  <conditionalFormatting sqref="B11:C11">
    <cfRule type="expression" dxfId="162" priority="41">
      <formula>$M11="frei"</formula>
    </cfRule>
  </conditionalFormatting>
  <conditionalFormatting sqref="C12">
    <cfRule type="expression" dxfId="161" priority="40">
      <formula>WEEKDAY($A12,2)&gt;5</formula>
    </cfRule>
  </conditionalFormatting>
  <conditionalFormatting sqref="C12">
    <cfRule type="expression" dxfId="160" priority="39">
      <formula>$M12="frei"</formula>
    </cfRule>
  </conditionalFormatting>
  <conditionalFormatting sqref="C13">
    <cfRule type="expression" dxfId="159" priority="38">
      <formula>WEEKDAY($A13,2)&gt;5</formula>
    </cfRule>
  </conditionalFormatting>
  <conditionalFormatting sqref="C13">
    <cfRule type="expression" dxfId="158" priority="37">
      <formula>$M13="frei"</formula>
    </cfRule>
  </conditionalFormatting>
  <conditionalFormatting sqref="C14">
    <cfRule type="expression" dxfId="157" priority="36">
      <formula>WEEKDAY($A14,2)&gt;5</formula>
    </cfRule>
  </conditionalFormatting>
  <conditionalFormatting sqref="C14">
    <cfRule type="expression" dxfId="156" priority="35">
      <formula>$M14="frei"</formula>
    </cfRule>
  </conditionalFormatting>
  <conditionalFormatting sqref="C15">
    <cfRule type="expression" dxfId="155" priority="34">
      <formula>WEEKDAY($A15,2)&gt;5</formula>
    </cfRule>
  </conditionalFormatting>
  <conditionalFormatting sqref="C15">
    <cfRule type="expression" dxfId="154" priority="33">
      <formula>$M15="frei"</formula>
    </cfRule>
  </conditionalFormatting>
  <conditionalFormatting sqref="C18">
    <cfRule type="expression" dxfId="153" priority="32">
      <formula>WEEKDAY($A18,2)&gt;5</formula>
    </cfRule>
  </conditionalFormatting>
  <conditionalFormatting sqref="C18">
    <cfRule type="expression" dxfId="152" priority="31">
      <formula>$M18="frei"</formula>
    </cfRule>
  </conditionalFormatting>
  <conditionalFormatting sqref="C19">
    <cfRule type="expression" dxfId="151" priority="30">
      <formula>WEEKDAY($A19,2)&gt;5</formula>
    </cfRule>
  </conditionalFormatting>
  <conditionalFormatting sqref="C19">
    <cfRule type="expression" dxfId="150" priority="29">
      <formula>$M19="frei"</formula>
    </cfRule>
  </conditionalFormatting>
  <conditionalFormatting sqref="C20">
    <cfRule type="expression" dxfId="149" priority="28">
      <formula>WEEKDAY($A20,2)&gt;5</formula>
    </cfRule>
  </conditionalFormatting>
  <conditionalFormatting sqref="C20">
    <cfRule type="expression" dxfId="148" priority="27">
      <formula>$M20="frei"</formula>
    </cfRule>
  </conditionalFormatting>
  <conditionalFormatting sqref="C21">
    <cfRule type="expression" dxfId="147" priority="26">
      <formula>WEEKDAY($A21,2)&gt;5</formula>
    </cfRule>
  </conditionalFormatting>
  <conditionalFormatting sqref="C21">
    <cfRule type="expression" dxfId="146" priority="25">
      <formula>$M21="frei"</formula>
    </cfRule>
  </conditionalFormatting>
  <conditionalFormatting sqref="C22">
    <cfRule type="expression" dxfId="145" priority="24">
      <formula>WEEKDAY($A22,2)&gt;5</formula>
    </cfRule>
  </conditionalFormatting>
  <conditionalFormatting sqref="C22">
    <cfRule type="expression" dxfId="144" priority="23">
      <formula>$M22="frei"</formula>
    </cfRule>
  </conditionalFormatting>
  <conditionalFormatting sqref="C25">
    <cfRule type="expression" dxfId="143" priority="22">
      <formula>WEEKDAY($A25,2)&gt;5</formula>
    </cfRule>
  </conditionalFormatting>
  <conditionalFormatting sqref="C25">
    <cfRule type="expression" dxfId="142" priority="21">
      <formula>$M25="frei"</formula>
    </cfRule>
  </conditionalFormatting>
  <conditionalFormatting sqref="C26">
    <cfRule type="expression" dxfId="141" priority="20">
      <formula>WEEKDAY($A26,2)&gt;5</formula>
    </cfRule>
  </conditionalFormatting>
  <conditionalFormatting sqref="C26">
    <cfRule type="expression" dxfId="140" priority="19">
      <formula>$M26="frei"</formula>
    </cfRule>
  </conditionalFormatting>
  <conditionalFormatting sqref="C27">
    <cfRule type="expression" dxfId="139" priority="18">
      <formula>WEEKDAY($A27,2)&gt;5</formula>
    </cfRule>
  </conditionalFormatting>
  <conditionalFormatting sqref="C27">
    <cfRule type="expression" dxfId="138" priority="17">
      <formula>$M27="frei"</formula>
    </cfRule>
  </conditionalFormatting>
  <conditionalFormatting sqref="C28">
    <cfRule type="expression" dxfId="137" priority="16">
      <formula>WEEKDAY($A28,2)&gt;5</formula>
    </cfRule>
  </conditionalFormatting>
  <conditionalFormatting sqref="C28">
    <cfRule type="expression" dxfId="136" priority="15">
      <formula>$M28="frei"</formula>
    </cfRule>
  </conditionalFormatting>
  <conditionalFormatting sqref="C29">
    <cfRule type="expression" dxfId="135" priority="14">
      <formula>WEEKDAY($A29,2)&gt;5</formula>
    </cfRule>
  </conditionalFormatting>
  <conditionalFormatting sqref="C29">
    <cfRule type="expression" dxfId="134" priority="13">
      <formula>$M29="frei"</formula>
    </cfRule>
  </conditionalFormatting>
  <conditionalFormatting sqref="C32">
    <cfRule type="expression" dxfId="133" priority="12">
      <formula>WEEKDAY($A32,2)&gt;5</formula>
    </cfRule>
  </conditionalFormatting>
  <conditionalFormatting sqref="C32">
    <cfRule type="expression" dxfId="132" priority="11">
      <formula>$M32="frei"</formula>
    </cfRule>
  </conditionalFormatting>
  <conditionalFormatting sqref="C33">
    <cfRule type="expression" dxfId="131" priority="10">
      <formula>WEEKDAY($A33,2)&gt;5</formula>
    </cfRule>
  </conditionalFormatting>
  <conditionalFormatting sqref="C33">
    <cfRule type="expression" dxfId="130" priority="9">
      <formula>$M33="frei"</formula>
    </cfRule>
  </conditionalFormatting>
  <conditionalFormatting sqref="C34">
    <cfRule type="expression" dxfId="129" priority="8">
      <formula>WEEKDAY($A34,2)&gt;5</formula>
    </cfRule>
  </conditionalFormatting>
  <conditionalFormatting sqref="C34">
    <cfRule type="expression" dxfId="128" priority="7">
      <formula>$M34="frei"</formula>
    </cfRule>
  </conditionalFormatting>
  <conditionalFormatting sqref="C35">
    <cfRule type="expression" dxfId="127" priority="6">
      <formula>WEEKDAY($A35,2)&gt;5</formula>
    </cfRule>
  </conditionalFormatting>
  <conditionalFormatting sqref="C35">
    <cfRule type="expression" dxfId="126" priority="5">
      <formula>$M35="frei"</formula>
    </cfRule>
  </conditionalFormatting>
  <conditionalFormatting sqref="C36">
    <cfRule type="expression" dxfId="125" priority="4">
      <formula>WEEKDAY($A36,2)&gt;5</formula>
    </cfRule>
  </conditionalFormatting>
  <conditionalFormatting sqref="C36">
    <cfRule type="expression" dxfId="124" priority="3">
      <formula>$M36="frei"</formula>
    </cfRule>
  </conditionalFormatting>
  <conditionalFormatting sqref="C39">
    <cfRule type="expression" dxfId="123" priority="2">
      <formula>WEEKDAY($A39,2)&gt;5</formula>
    </cfRule>
  </conditionalFormatting>
  <conditionalFormatting sqref="C39">
    <cfRule type="expression" dxfId="122" priority="1">
      <formula>$M39="frei"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opLeftCell="A13" zoomScaleNormal="100" workbookViewId="0">
      <selection activeCell="N45" sqref="N45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9.5703125" style="78" customWidth="1"/>
    <col min="16" max="16" width="10.7109375" style="78" bestFit="1" customWidth="1"/>
    <col min="17" max="17" width="9.28515625" style="78" bestFit="1" customWidth="1"/>
    <col min="18" max="18" width="9.28515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45566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+Sep!L7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23</v>
      </c>
      <c r="E5" s="74">
        <f>Start!B29</f>
        <v>0.33333333333333331</v>
      </c>
      <c r="F5" s="74">
        <f ca="1">+D5*E5</f>
        <v>7.6666666666666661</v>
      </c>
      <c r="G5" s="74">
        <f>+L6*E5</f>
        <v>0</v>
      </c>
      <c r="H5" s="74">
        <f>SUM(J10:J40)</f>
        <v>0</v>
      </c>
      <c r="I5" s="74">
        <f ca="1">+F5-G5-H5</f>
        <v>7.6666666666666661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23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45566</v>
      </c>
      <c r="B10" s="75"/>
      <c r="C10" s="72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 t="str">
        <f ca="1">IF(TEXT(A10,"TTT")="So",SUM(I10),"")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Di</v>
      </c>
      <c r="O10" s="82">
        <f t="shared" ref="O10:O40" si="1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45567</v>
      </c>
      <c r="B11" s="75"/>
      <c r="C11" s="72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/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Mi</v>
      </c>
      <c r="N11" s="147"/>
      <c r="O11" s="82">
        <f t="shared" si="1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4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5">IF(A11="","",IF(MONTH(A11+1)=MONTH($A$10),A11+1,""))</f>
        <v>45568</v>
      </c>
      <c r="B12" s="75"/>
      <c r="C12" s="72"/>
      <c r="D12" s="2"/>
      <c r="E12" s="72"/>
      <c r="F12" s="75"/>
      <c r="G12" s="72"/>
      <c r="H12" s="72"/>
      <c r="I12" s="71">
        <f t="shared" si="0"/>
        <v>0</v>
      </c>
      <c r="J12" s="72"/>
      <c r="K12" s="77"/>
      <c r="L12" s="95"/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Do</v>
      </c>
      <c r="N12" s="147"/>
      <c r="O12" s="82">
        <f t="shared" si="1"/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2"/>
        <v>0</v>
      </c>
      <c r="R12" s="68" t="str">
        <f t="shared" ca="1" si="4"/>
        <v/>
      </c>
      <c r="S12" s="87">
        <f t="shared" ca="1" si="3"/>
        <v>0</v>
      </c>
    </row>
    <row r="13" spans="1:21" x14ac:dyDescent="0.2">
      <c r="A13" s="96">
        <f t="shared" ca="1" si="5"/>
        <v>45569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ref="L13:L40" ca="1" si="6">IF(TEXT(A13,"TTT")="So",SUM(I7:I13),"")</f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Fr</v>
      </c>
      <c r="N13" s="147"/>
      <c r="O13" s="82">
        <f t="shared" si="1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2"/>
        <v>0</v>
      </c>
      <c r="R13" s="68" t="str">
        <f t="shared" ca="1" si="4"/>
        <v/>
      </c>
      <c r="S13" s="87">
        <f t="shared" ca="1" si="3"/>
        <v>0</v>
      </c>
    </row>
    <row r="14" spans="1:21" x14ac:dyDescent="0.2">
      <c r="A14" s="96">
        <f t="shared" ca="1" si="5"/>
        <v>45570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6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frei</v>
      </c>
      <c r="N14" s="147"/>
      <c r="O14" s="82">
        <f t="shared" si="1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ca="1" si="4"/>
        <v/>
      </c>
      <c r="S14" s="87">
        <f t="shared" ca="1" si="3"/>
        <v>0</v>
      </c>
    </row>
    <row r="15" spans="1:21" x14ac:dyDescent="0.2">
      <c r="A15" s="96">
        <f t="shared" ca="1" si="5"/>
        <v>45571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>
        <f t="shared" ca="1" si="6"/>
        <v>0</v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frei</v>
      </c>
      <c r="N15" s="147"/>
      <c r="O15" s="82">
        <f t="shared" si="1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4"/>
        <v/>
      </c>
      <c r="S15" s="87">
        <f t="shared" ca="1" si="3"/>
        <v>0</v>
      </c>
    </row>
    <row r="16" spans="1:21" x14ac:dyDescent="0.2">
      <c r="A16" s="96">
        <f t="shared" ca="1" si="5"/>
        <v>45572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6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Mo</v>
      </c>
      <c r="N16" s="147"/>
      <c r="O16" s="82">
        <f t="shared" si="1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4"/>
        <v/>
      </c>
      <c r="S16" s="87">
        <f t="shared" ca="1" si="3"/>
        <v>0</v>
      </c>
    </row>
    <row r="17" spans="1:19" x14ac:dyDescent="0.2">
      <c r="A17" s="96">
        <f t="shared" ca="1" si="5"/>
        <v>45573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6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Di</v>
      </c>
      <c r="N17" s="147"/>
      <c r="O17" s="82">
        <f t="shared" si="1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2"/>
        <v>0</v>
      </c>
      <c r="R17" s="68" t="str">
        <f t="shared" ca="1" si="4"/>
        <v/>
      </c>
      <c r="S17" s="87">
        <f t="shared" ca="1" si="3"/>
        <v>0</v>
      </c>
    </row>
    <row r="18" spans="1:19" x14ac:dyDescent="0.2">
      <c r="A18" s="96">
        <f t="shared" ca="1" si="5"/>
        <v>45574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6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Mi</v>
      </c>
      <c r="N18" s="147"/>
      <c r="O18" s="82">
        <f t="shared" si="1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4"/>
        <v/>
      </c>
      <c r="S18" s="87">
        <f t="shared" ca="1" si="3"/>
        <v>0</v>
      </c>
    </row>
    <row r="19" spans="1:19" x14ac:dyDescent="0.2">
      <c r="A19" s="96">
        <f t="shared" ca="1" si="5"/>
        <v>45575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6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Do</v>
      </c>
      <c r="N19" s="147"/>
      <c r="O19" s="82">
        <f t="shared" si="1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4"/>
        <v/>
      </c>
      <c r="S19" s="87">
        <f t="shared" ca="1" si="3"/>
        <v>0</v>
      </c>
    </row>
    <row r="20" spans="1:19" x14ac:dyDescent="0.2">
      <c r="A20" s="96">
        <f t="shared" ca="1" si="5"/>
        <v>45576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6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Fr</v>
      </c>
      <c r="N20" s="147"/>
      <c r="O20" s="82">
        <f t="shared" si="1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4"/>
        <v/>
      </c>
      <c r="S20" s="87">
        <f t="shared" ca="1" si="3"/>
        <v>0</v>
      </c>
    </row>
    <row r="21" spans="1:19" x14ac:dyDescent="0.2">
      <c r="A21" s="96">
        <f t="shared" ca="1" si="5"/>
        <v>45577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6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frei</v>
      </c>
      <c r="N21" s="147"/>
      <c r="O21" s="82">
        <f t="shared" si="1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4"/>
        <v/>
      </c>
      <c r="S21" s="87">
        <f t="shared" ca="1" si="3"/>
        <v>0</v>
      </c>
    </row>
    <row r="22" spans="1:19" x14ac:dyDescent="0.2">
      <c r="A22" s="96">
        <f t="shared" ca="1" si="5"/>
        <v>45578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>
        <f t="shared" ca="1" si="6"/>
        <v>0</v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frei</v>
      </c>
      <c r="N22" s="147"/>
      <c r="O22" s="82">
        <f t="shared" si="1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4"/>
        <v/>
      </c>
      <c r="S22" s="87">
        <f t="shared" ca="1" si="3"/>
        <v>0</v>
      </c>
    </row>
    <row r="23" spans="1:19" x14ac:dyDescent="0.2">
      <c r="A23" s="96">
        <f t="shared" ca="1" si="5"/>
        <v>45579</v>
      </c>
      <c r="B23" s="75"/>
      <c r="C23" s="72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6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Mo</v>
      </c>
      <c r="N23" s="147"/>
      <c r="O23" s="82">
        <f t="shared" si="1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4"/>
        <v/>
      </c>
      <c r="S23" s="87">
        <f t="shared" ca="1" si="3"/>
        <v>0</v>
      </c>
    </row>
    <row r="24" spans="1:19" x14ac:dyDescent="0.2">
      <c r="A24" s="96">
        <f t="shared" ca="1" si="5"/>
        <v>45580</v>
      </c>
      <c r="B24" s="75"/>
      <c r="C24" s="72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6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Di</v>
      </c>
      <c r="N24" s="147"/>
      <c r="O24" s="82">
        <f t="shared" si="1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4"/>
        <v/>
      </c>
      <c r="S24" s="87">
        <f t="shared" ca="1" si="3"/>
        <v>0</v>
      </c>
    </row>
    <row r="25" spans="1:19" x14ac:dyDescent="0.2">
      <c r="A25" s="96">
        <f t="shared" ca="1" si="5"/>
        <v>45581</v>
      </c>
      <c r="B25" s="75"/>
      <c r="C25" s="72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6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Mi</v>
      </c>
      <c r="N25" s="147"/>
      <c r="O25" s="82">
        <f t="shared" si="1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4"/>
        <v/>
      </c>
      <c r="S25" s="87">
        <f t="shared" ca="1" si="3"/>
        <v>0</v>
      </c>
    </row>
    <row r="26" spans="1:19" x14ac:dyDescent="0.2">
      <c r="A26" s="96">
        <f t="shared" ca="1" si="5"/>
        <v>45582</v>
      </c>
      <c r="B26" s="75"/>
      <c r="C26" s="72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6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Do</v>
      </c>
      <c r="N26" s="147"/>
      <c r="O26" s="82">
        <f t="shared" si="1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4"/>
        <v/>
      </c>
      <c r="S26" s="87">
        <f t="shared" ca="1" si="3"/>
        <v>0</v>
      </c>
    </row>
    <row r="27" spans="1:19" x14ac:dyDescent="0.2">
      <c r="A27" s="96">
        <f t="shared" ca="1" si="5"/>
        <v>45583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6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Fr</v>
      </c>
      <c r="N27" s="147"/>
      <c r="O27" s="82">
        <f t="shared" si="1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4"/>
        <v/>
      </c>
      <c r="S27" s="87">
        <f t="shared" ca="1" si="3"/>
        <v>0</v>
      </c>
    </row>
    <row r="28" spans="1:19" x14ac:dyDescent="0.2">
      <c r="A28" s="96">
        <f t="shared" ca="1" si="5"/>
        <v>45584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6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frei</v>
      </c>
      <c r="N28" s="147"/>
      <c r="O28" s="82">
        <f t="shared" si="1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4"/>
        <v/>
      </c>
      <c r="S28" s="87">
        <f t="shared" ca="1" si="3"/>
        <v>0</v>
      </c>
    </row>
    <row r="29" spans="1:19" x14ac:dyDescent="0.2">
      <c r="A29" s="96">
        <f t="shared" ca="1" si="5"/>
        <v>45585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>
        <f t="shared" ca="1" si="6"/>
        <v>0</v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frei</v>
      </c>
      <c r="N29" s="147"/>
      <c r="O29" s="82">
        <f t="shared" si="1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4"/>
        <v/>
      </c>
      <c r="S29" s="87">
        <f t="shared" ca="1" si="3"/>
        <v>0</v>
      </c>
    </row>
    <row r="30" spans="1:19" x14ac:dyDescent="0.2">
      <c r="A30" s="96">
        <f t="shared" ca="1" si="5"/>
        <v>45586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6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Mo</v>
      </c>
      <c r="N30" s="147"/>
      <c r="O30" s="82">
        <f t="shared" si="1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4"/>
        <v/>
      </c>
      <c r="S30" s="87">
        <f t="shared" ca="1" si="3"/>
        <v>0</v>
      </c>
    </row>
    <row r="31" spans="1:19" x14ac:dyDescent="0.2">
      <c r="A31" s="96">
        <f t="shared" ca="1" si="5"/>
        <v>45587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6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Di</v>
      </c>
      <c r="N31" s="147"/>
      <c r="O31" s="82">
        <f t="shared" si="1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4"/>
        <v/>
      </c>
      <c r="S31" s="87">
        <f t="shared" ca="1" si="3"/>
        <v>0</v>
      </c>
    </row>
    <row r="32" spans="1:19" x14ac:dyDescent="0.2">
      <c r="A32" s="96">
        <f t="shared" ca="1" si="5"/>
        <v>45588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6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Mi</v>
      </c>
      <c r="N32" s="147"/>
      <c r="O32" s="82">
        <f t="shared" si="1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4"/>
        <v/>
      </c>
      <c r="S32" s="87">
        <f t="shared" ca="1" si="3"/>
        <v>0</v>
      </c>
    </row>
    <row r="33" spans="1:19" x14ac:dyDescent="0.2">
      <c r="A33" s="96">
        <f t="shared" ca="1" si="5"/>
        <v>45589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6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Do</v>
      </c>
      <c r="N33" s="147"/>
      <c r="O33" s="82">
        <f t="shared" si="1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4"/>
        <v/>
      </c>
      <c r="S33" s="87">
        <f t="shared" ca="1" si="3"/>
        <v>0</v>
      </c>
    </row>
    <row r="34" spans="1:19" x14ac:dyDescent="0.2">
      <c r="A34" s="96">
        <f t="shared" ca="1" si="5"/>
        <v>45590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6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Fr</v>
      </c>
      <c r="N34" s="147"/>
      <c r="O34" s="82">
        <f t="shared" si="1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2"/>
        <v>0</v>
      </c>
      <c r="R34" s="68" t="str">
        <f t="shared" ca="1" si="4"/>
        <v/>
      </c>
      <c r="S34" s="87">
        <f t="shared" ca="1" si="3"/>
        <v>0</v>
      </c>
    </row>
    <row r="35" spans="1:19" x14ac:dyDescent="0.2">
      <c r="A35" s="96">
        <f t="shared" ca="1" si="5"/>
        <v>45591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 t="s">
        <v>30</v>
      </c>
      <c r="L35" s="95" t="str">
        <f t="shared" ca="1" si="6"/>
        <v/>
      </c>
      <c r="M35" s="159" t="str">
        <f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frei</v>
      </c>
      <c r="N35" s="147"/>
      <c r="O35" s="82">
        <f t="shared" si="1"/>
        <v>0</v>
      </c>
      <c r="P35" s="82">
        <f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si="2"/>
        <v>0</v>
      </c>
      <c r="R35" s="68" t="str">
        <f t="shared" si="4"/>
        <v/>
      </c>
      <c r="S35" s="87">
        <f t="shared" ca="1" si="3"/>
        <v>0</v>
      </c>
    </row>
    <row r="36" spans="1:19" x14ac:dyDescent="0.2">
      <c r="A36" s="96">
        <f t="shared" ca="1" si="5"/>
        <v>45592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>
        <f t="shared" ca="1" si="6"/>
        <v>0</v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frei</v>
      </c>
      <c r="N36" s="147"/>
      <c r="O36" s="82">
        <f t="shared" si="1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4"/>
        <v/>
      </c>
      <c r="S36" s="87">
        <f t="shared" ca="1" si="3"/>
        <v>0</v>
      </c>
    </row>
    <row r="37" spans="1:19" x14ac:dyDescent="0.2">
      <c r="A37" s="96">
        <f t="shared" ca="1" si="5"/>
        <v>45593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6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Mo</v>
      </c>
      <c r="N37" s="147"/>
      <c r="O37" s="82">
        <f t="shared" si="1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4"/>
        <v/>
      </c>
      <c r="S37" s="87">
        <f t="shared" ca="1" si="3"/>
        <v>0</v>
      </c>
    </row>
    <row r="38" spans="1:19" x14ac:dyDescent="0.2">
      <c r="A38" s="96">
        <f t="shared" ca="1" si="5"/>
        <v>45594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6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Di</v>
      </c>
      <c r="N38" s="147"/>
      <c r="O38" s="82">
        <f t="shared" si="1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4"/>
        <v/>
      </c>
      <c r="S38" s="87">
        <f t="shared" ca="1" si="3"/>
        <v>0</v>
      </c>
    </row>
    <row r="39" spans="1:19" x14ac:dyDescent="0.2">
      <c r="A39" s="96">
        <f t="shared" ca="1" si="5"/>
        <v>45595</v>
      </c>
      <c r="B39" s="75"/>
      <c r="C39" s="72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6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Mi</v>
      </c>
      <c r="N39" s="147"/>
      <c r="O39" s="82">
        <f t="shared" si="1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4"/>
        <v/>
      </c>
      <c r="S39" s="87">
        <f t="shared" ca="1" si="3"/>
        <v>0</v>
      </c>
    </row>
    <row r="40" spans="1:19" x14ac:dyDescent="0.2">
      <c r="A40" s="96">
        <f t="shared" ca="1" si="5"/>
        <v>45596</v>
      </c>
      <c r="B40" s="75"/>
      <c r="C40" s="72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6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Do</v>
      </c>
      <c r="N40" s="147"/>
      <c r="O40" s="82">
        <f t="shared" si="1"/>
        <v>0</v>
      </c>
      <c r="P40" s="82">
        <f ca="1"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4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IF(OR(I43&gt;0,G5&gt;0,H5&gt;0),IF(AND(Sep!I43=0,Sep!G5=0,Sep!H5=0),Start!B40,Sep!L47),0)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2.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.7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7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2" spans="1:11" x14ac:dyDescent="0.2"/>
    <row r="55" spans="1:11" x14ac:dyDescent="0.2"/>
  </sheetData>
  <sheetProtection algorithmName="SHA-512" hashValue="VdDhNHjBAjqg/QyaZ6YaR3BoC1wDRLMcxHxIhclEqT2HROY5nxyckjtZ5N/V/3H2KySZmaT7hzAip0s5D43QFA==" saltValue="Vir/3tzNRTBnlF+uFKrOR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J10:K25 J41:K41 A41:H41 J27:K39 J26 A40:C40 A10:H39">
    <cfRule type="expression" dxfId="121" priority="89">
      <formula>WEEKDAY($A10,2)&gt;5</formula>
    </cfRule>
  </conditionalFormatting>
  <conditionalFormatting sqref="I10:I39 I41">
    <cfRule type="expression" dxfId="120" priority="79">
      <formula>(G10-F10)&gt;6/24</formula>
    </cfRule>
    <cfRule type="expression" dxfId="119" priority="80">
      <formula>(E10-D10)&gt;6/24</formula>
    </cfRule>
    <cfRule type="expression" dxfId="118" priority="81">
      <formula>(C10-B10)&gt;6/24</formula>
    </cfRule>
    <cfRule type="expression" dxfId="117" priority="83">
      <formula>WEEKDAY($A10,2)&gt;5</formula>
    </cfRule>
  </conditionalFormatting>
  <conditionalFormatting sqref="I10:I39 I41">
    <cfRule type="cellIs" dxfId="116" priority="82" operator="greaterThan">
      <formula>0.416666666666667</formula>
    </cfRule>
  </conditionalFormatting>
  <conditionalFormatting sqref="L47">
    <cfRule type="cellIs" dxfId="115" priority="75" operator="greaterThan">
      <formula>80</formula>
    </cfRule>
  </conditionalFormatting>
  <conditionalFormatting sqref="L41 L10:L39">
    <cfRule type="expression" dxfId="114" priority="36">
      <formula>WEEKDAY($A10,2)&gt;5</formula>
    </cfRule>
  </conditionalFormatting>
  <conditionalFormatting sqref="L41 L10:L39">
    <cfRule type="cellIs" dxfId="113" priority="35" operator="greaterThan">
      <formula>2.08333333333333</formula>
    </cfRule>
  </conditionalFormatting>
  <conditionalFormatting sqref="L41 L10:L39">
    <cfRule type="expression" dxfId="112" priority="34">
      <formula>L10=""</formula>
    </cfRule>
  </conditionalFormatting>
  <conditionalFormatting sqref="A41:K41 A40:C40 A27:K39 A26:J26 A10:K25">
    <cfRule type="expression" dxfId="111" priority="33">
      <formula>$M10="frei"</formula>
    </cfRule>
  </conditionalFormatting>
  <conditionalFormatting sqref="M10:M41">
    <cfRule type="expression" dxfId="110" priority="31">
      <formula>M10="FD"</formula>
    </cfRule>
    <cfRule type="expression" dxfId="109" priority="32">
      <formula>M10="frei"</formula>
    </cfRule>
  </conditionalFormatting>
  <conditionalFormatting sqref="A42">
    <cfRule type="expression" dxfId="108" priority="29">
      <formula>$M42="frei"</formula>
    </cfRule>
  </conditionalFormatting>
  <conditionalFormatting sqref="J40:K40 D40:F40 H40">
    <cfRule type="expression" dxfId="107" priority="28">
      <formula>WEEKDAY($A40,2)&gt;5</formula>
    </cfRule>
  </conditionalFormatting>
  <conditionalFormatting sqref="I40">
    <cfRule type="expression" dxfId="106" priority="23">
      <formula>(G40-F40)&gt;6/24</formula>
    </cfRule>
    <cfRule type="expression" dxfId="105" priority="24">
      <formula>(E40-D40)&gt;6/24</formula>
    </cfRule>
    <cfRule type="expression" dxfId="104" priority="25">
      <formula>(C40-B40)&gt;6/24</formula>
    </cfRule>
    <cfRule type="expression" dxfId="103" priority="27">
      <formula>WEEKDAY($A40,2)&gt;5</formula>
    </cfRule>
  </conditionalFormatting>
  <conditionalFormatting sqref="I40">
    <cfRule type="cellIs" dxfId="102" priority="26" operator="greaterThan">
      <formula>0.416666666666667</formula>
    </cfRule>
  </conditionalFormatting>
  <conditionalFormatting sqref="D40:F40 H40:K40">
    <cfRule type="expression" dxfId="101" priority="19">
      <formula>$M40="frei"</formula>
    </cfRule>
  </conditionalFormatting>
  <conditionalFormatting sqref="G40">
    <cfRule type="expression" dxfId="100" priority="18">
      <formula>WEEKDAY($A40,2)&gt;5</formula>
    </cfRule>
  </conditionalFormatting>
  <conditionalFormatting sqref="G40">
    <cfRule type="expression" dxfId="99" priority="17">
      <formula>$M40="frei"</formula>
    </cfRule>
  </conditionalFormatting>
  <conditionalFormatting sqref="L40">
    <cfRule type="expression" dxfId="98" priority="16">
      <formula>WEEKDAY($A40,2)&gt;5</formula>
    </cfRule>
  </conditionalFormatting>
  <conditionalFormatting sqref="L40">
    <cfRule type="cellIs" dxfId="97" priority="15" operator="greaterThan">
      <formula>2.08333333333333</formula>
    </cfRule>
  </conditionalFormatting>
  <conditionalFormatting sqref="L40">
    <cfRule type="expression" dxfId="96" priority="14">
      <formula>L40=""</formula>
    </cfRule>
  </conditionalFormatting>
  <conditionalFormatting sqref="J43 L43">
    <cfRule type="expression" dxfId="95" priority="11">
      <formula>WEEKDAY($A43,2)&gt;5</formula>
    </cfRule>
  </conditionalFormatting>
  <conditionalFormatting sqref="J43 L43">
    <cfRule type="expression" dxfId="94" priority="10">
      <formula>$M43="frei"</formula>
    </cfRule>
  </conditionalFormatting>
  <conditionalFormatting sqref="J42 L42">
    <cfRule type="expression" dxfId="93" priority="9">
      <formula>WEEKDAY($A42,2)&gt;5</formula>
    </cfRule>
  </conditionalFormatting>
  <conditionalFormatting sqref="J42 L42">
    <cfRule type="expression" dxfId="92" priority="8">
      <formula>$M42="frei"</formula>
    </cfRule>
  </conditionalFormatting>
  <conditionalFormatting sqref="K42">
    <cfRule type="expression" dxfId="91" priority="7">
      <formula>WEEKDAY($A42,2)&gt;5</formula>
    </cfRule>
  </conditionalFormatting>
  <conditionalFormatting sqref="K42">
    <cfRule type="expression" dxfId="90" priority="6">
      <formula>$M42="frei"</formula>
    </cfRule>
  </conditionalFormatting>
  <conditionalFormatting sqref="K43">
    <cfRule type="expression" dxfId="89" priority="5">
      <formula>WEEKDAY($A43,2)&gt;5</formula>
    </cfRule>
  </conditionalFormatting>
  <conditionalFormatting sqref="K43">
    <cfRule type="expression" dxfId="88" priority="4">
      <formula>$M43="frei"</formula>
    </cfRule>
  </conditionalFormatting>
  <conditionalFormatting sqref="I46">
    <cfRule type="expression" dxfId="87" priority="3">
      <formula>$I$46&gt;0</formula>
    </cfRule>
  </conditionalFormatting>
  <conditionalFormatting sqref="K26">
    <cfRule type="expression" dxfId="86" priority="2">
      <formula>WEEKDAY($A26,2)&gt;5</formula>
    </cfRule>
  </conditionalFormatting>
  <conditionalFormatting sqref="K26">
    <cfRule type="expression" dxfId="85" priority="1">
      <formula>$M26="frei"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15" zoomScaleNormal="100" workbookViewId="0">
      <selection activeCell="L44" sqref="L44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71093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710937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7.57031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45597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+Okt!L7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20</v>
      </c>
      <c r="E5" s="74">
        <f>Start!B29</f>
        <v>0.33333333333333331</v>
      </c>
      <c r="F5" s="74">
        <f ca="1">+D5*E5</f>
        <v>6.6666666666666661</v>
      </c>
      <c r="G5" s="74">
        <f>+L6*E5</f>
        <v>0</v>
      </c>
      <c r="H5" s="74">
        <f>SUM(J10:J40)</f>
        <v>0</v>
      </c>
      <c r="I5" s="74">
        <f ca="1">+F5-G5-H5</f>
        <v>6.6666666666666661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20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45597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238"/>
      <c r="K10" s="77" t="s">
        <v>31</v>
      </c>
      <c r="L10" s="95" t="str">
        <f t="shared" ref="L10:L40" ca="1" si="1">IF(TEXT(A10,"TTT")="So",SUM(I4:I10),"")</f>
        <v/>
      </c>
      <c r="M10" s="159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40" si="2">(I10+J10)*24</f>
        <v>0</v>
      </c>
      <c r="P10" s="82">
        <f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11" si="3">O10-P10</f>
        <v>0</v>
      </c>
      <c r="R10" s="68" t="str">
        <f>IF(Q10&lt;&gt;0,S9+Q10,"")</f>
        <v/>
      </c>
      <c r="S10" s="87">
        <f t="shared" ref="S10:S11" si="4">S9+Q10</f>
        <v>0</v>
      </c>
    </row>
    <row r="11" spans="1:21" x14ac:dyDescent="0.2">
      <c r="A11" s="96">
        <f t="shared" ref="A11:A40" ca="1" si="5">IF(A10="","",IF(MONTH(A10+1)=MONTH($A$10),A10+1,""))</f>
        <v>45598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238"/>
      <c r="K11" s="77" t="s">
        <v>221</v>
      </c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frei</v>
      </c>
      <c r="N11" s="147"/>
      <c r="O11" s="82">
        <f t="shared" si="2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" ca="1" si="6">IF(Q11&lt;&gt;0,S10+Q11,"")</f>
        <v/>
      </c>
      <c r="S11" s="87">
        <f t="shared" ca="1" si="4"/>
        <v>0</v>
      </c>
    </row>
    <row r="12" spans="1:21" x14ac:dyDescent="0.2">
      <c r="A12" s="96">
        <f t="shared" ca="1" si="5"/>
        <v>45599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19"/>
      <c r="L12" s="95">
        <f t="shared" ca="1" si="1"/>
        <v>0</v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frei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ref="Q12:Q40" ca="1" si="7">O12-P12</f>
        <v>0</v>
      </c>
      <c r="R12" s="68" t="str">
        <f t="shared" ref="R12:R40" ca="1" si="8">IF(Q12&lt;&gt;0,S11+Q12,"")</f>
        <v/>
      </c>
      <c r="S12" s="87">
        <f t="shared" ref="S12:S40" ca="1" si="9">S11+Q12</f>
        <v>0</v>
      </c>
    </row>
    <row r="13" spans="1:21" x14ac:dyDescent="0.2">
      <c r="A13" s="96">
        <f t="shared" ca="1" si="5"/>
        <v>45600</v>
      </c>
      <c r="B13" s="75"/>
      <c r="C13" s="75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Mo</v>
      </c>
      <c r="N13" s="147"/>
      <c r="O13" s="82">
        <f t="shared" si="2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7"/>
        <v>0</v>
      </c>
      <c r="R13" s="68" t="str">
        <f t="shared" ca="1" si="8"/>
        <v/>
      </c>
      <c r="S13" s="87">
        <f t="shared" ca="1" si="9"/>
        <v>0</v>
      </c>
    </row>
    <row r="14" spans="1:21" x14ac:dyDescent="0.2">
      <c r="A14" s="96">
        <f t="shared" ca="1" si="5"/>
        <v>45601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Di</v>
      </c>
      <c r="N14" s="147"/>
      <c r="O14" s="82">
        <f t="shared" si="2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7"/>
        <v>0</v>
      </c>
      <c r="R14" s="68" t="str">
        <f t="shared" ca="1" si="8"/>
        <v/>
      </c>
      <c r="S14" s="87">
        <f t="shared" ca="1" si="9"/>
        <v>0</v>
      </c>
    </row>
    <row r="15" spans="1:21" x14ac:dyDescent="0.2">
      <c r="A15" s="96">
        <f t="shared" ca="1" si="5"/>
        <v>45602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Mi</v>
      </c>
      <c r="N15" s="147"/>
      <c r="O15" s="82">
        <f t="shared" si="2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7"/>
        <v>0</v>
      </c>
      <c r="R15" s="68" t="str">
        <f t="shared" ca="1" si="8"/>
        <v/>
      </c>
      <c r="S15" s="87">
        <f t="shared" ca="1" si="9"/>
        <v>0</v>
      </c>
    </row>
    <row r="16" spans="1:21" x14ac:dyDescent="0.2">
      <c r="A16" s="96">
        <f t="shared" ca="1" si="5"/>
        <v>45603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Do</v>
      </c>
      <c r="N16" s="147"/>
      <c r="O16" s="82">
        <f t="shared" si="2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7"/>
        <v>0</v>
      </c>
      <c r="R16" s="68" t="str">
        <f t="shared" ca="1" si="8"/>
        <v/>
      </c>
      <c r="S16" s="87">
        <f t="shared" ca="1" si="9"/>
        <v>0</v>
      </c>
    </row>
    <row r="17" spans="1:19" x14ac:dyDescent="0.2">
      <c r="A17" s="96">
        <f t="shared" ca="1" si="5"/>
        <v>45604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Fr</v>
      </c>
      <c r="N17" s="147"/>
      <c r="O17" s="82">
        <f t="shared" si="2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7"/>
        <v>0</v>
      </c>
      <c r="R17" s="68" t="str">
        <f t="shared" ca="1" si="8"/>
        <v/>
      </c>
      <c r="S17" s="87">
        <f t="shared" ca="1" si="9"/>
        <v>0</v>
      </c>
    </row>
    <row r="18" spans="1:19" x14ac:dyDescent="0.2">
      <c r="A18" s="96">
        <f t="shared" ca="1" si="5"/>
        <v>45605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frei</v>
      </c>
      <c r="N18" s="147"/>
      <c r="O18" s="82">
        <f t="shared" si="2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t="shared" ca="1" si="7"/>
        <v>0</v>
      </c>
      <c r="R18" s="68" t="str">
        <f t="shared" ca="1" si="8"/>
        <v/>
      </c>
      <c r="S18" s="87">
        <f t="shared" ca="1" si="9"/>
        <v>0</v>
      </c>
    </row>
    <row r="19" spans="1:19" x14ac:dyDescent="0.2">
      <c r="A19" s="96">
        <f t="shared" ca="1" si="5"/>
        <v>45606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>
        <f t="shared" ca="1" si="1"/>
        <v>0</v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frei</v>
      </c>
      <c r="N19" s="147"/>
      <c r="O19" s="82">
        <f t="shared" si="2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7"/>
        <v>0</v>
      </c>
      <c r="R19" s="68" t="str">
        <f t="shared" ca="1" si="8"/>
        <v/>
      </c>
      <c r="S19" s="87">
        <f t="shared" ca="1" si="9"/>
        <v>0</v>
      </c>
    </row>
    <row r="20" spans="1:19" x14ac:dyDescent="0.2">
      <c r="A20" s="96">
        <f t="shared" ca="1" si="5"/>
        <v>45607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Mo</v>
      </c>
      <c r="N20" s="147"/>
      <c r="O20" s="82">
        <f t="shared" si="2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7"/>
        <v>0</v>
      </c>
      <c r="R20" s="68" t="str">
        <f t="shared" ca="1" si="8"/>
        <v/>
      </c>
      <c r="S20" s="87">
        <f t="shared" ca="1" si="9"/>
        <v>0</v>
      </c>
    </row>
    <row r="21" spans="1:19" x14ac:dyDescent="0.2">
      <c r="A21" s="96">
        <f t="shared" ca="1" si="5"/>
        <v>45608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Di</v>
      </c>
      <c r="N21" s="147"/>
      <c r="O21" s="82">
        <f t="shared" si="2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7"/>
        <v>0</v>
      </c>
      <c r="R21" s="68" t="str">
        <f t="shared" ca="1" si="8"/>
        <v/>
      </c>
      <c r="S21" s="87">
        <f t="shared" ca="1" si="9"/>
        <v>0</v>
      </c>
    </row>
    <row r="22" spans="1:19" x14ac:dyDescent="0.2">
      <c r="A22" s="96">
        <f t="shared" ca="1" si="5"/>
        <v>45609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Mi</v>
      </c>
      <c r="N22" s="147"/>
      <c r="O22" s="82">
        <f t="shared" si="2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7"/>
        <v>0</v>
      </c>
      <c r="R22" s="68" t="str">
        <f t="shared" ca="1" si="8"/>
        <v/>
      </c>
      <c r="S22" s="87">
        <f t="shared" ca="1" si="9"/>
        <v>0</v>
      </c>
    </row>
    <row r="23" spans="1:19" x14ac:dyDescent="0.2">
      <c r="A23" s="96">
        <f t="shared" ca="1" si="5"/>
        <v>45610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Do</v>
      </c>
      <c r="N23" s="147"/>
      <c r="O23" s="82">
        <f t="shared" si="2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7"/>
        <v>0</v>
      </c>
      <c r="R23" s="68" t="str">
        <f t="shared" ca="1" si="8"/>
        <v/>
      </c>
      <c r="S23" s="87">
        <f t="shared" ca="1" si="9"/>
        <v>0</v>
      </c>
    </row>
    <row r="24" spans="1:19" x14ac:dyDescent="0.2">
      <c r="A24" s="96">
        <f t="shared" ca="1" si="5"/>
        <v>45611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Fr</v>
      </c>
      <c r="N24" s="147"/>
      <c r="O24" s="82">
        <f t="shared" si="2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7"/>
        <v>0</v>
      </c>
      <c r="R24" s="68" t="str">
        <f t="shared" ca="1" si="8"/>
        <v/>
      </c>
      <c r="S24" s="87">
        <f t="shared" ca="1" si="9"/>
        <v>0</v>
      </c>
    </row>
    <row r="25" spans="1:19" x14ac:dyDescent="0.2">
      <c r="A25" s="96">
        <f t="shared" ca="1" si="5"/>
        <v>45612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frei</v>
      </c>
      <c r="N25" s="147"/>
      <c r="O25" s="82">
        <f t="shared" si="2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7"/>
        <v>0</v>
      </c>
      <c r="R25" s="68" t="str">
        <f t="shared" ca="1" si="8"/>
        <v/>
      </c>
      <c r="S25" s="87">
        <f t="shared" ca="1" si="9"/>
        <v>0</v>
      </c>
    </row>
    <row r="26" spans="1:19" x14ac:dyDescent="0.2">
      <c r="A26" s="96">
        <f t="shared" ca="1" si="5"/>
        <v>45613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>
        <f t="shared" ca="1" si="1"/>
        <v>0</v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frei</v>
      </c>
      <c r="N26" s="147"/>
      <c r="O26" s="82">
        <f t="shared" si="2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7"/>
        <v>0</v>
      </c>
      <c r="R26" s="68" t="str">
        <f t="shared" ca="1" si="8"/>
        <v/>
      </c>
      <c r="S26" s="87">
        <f t="shared" ca="1" si="9"/>
        <v>0</v>
      </c>
    </row>
    <row r="27" spans="1:19" x14ac:dyDescent="0.2">
      <c r="A27" s="96">
        <f t="shared" ca="1" si="5"/>
        <v>45614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Mo</v>
      </c>
      <c r="N27" s="147"/>
      <c r="O27" s="82">
        <f t="shared" si="2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7"/>
        <v>0</v>
      </c>
      <c r="R27" s="68" t="str">
        <f t="shared" ca="1" si="8"/>
        <v/>
      </c>
      <c r="S27" s="87">
        <f t="shared" ca="1" si="9"/>
        <v>0</v>
      </c>
    </row>
    <row r="28" spans="1:19" x14ac:dyDescent="0.2">
      <c r="A28" s="96">
        <f t="shared" ca="1" si="5"/>
        <v>45615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Di</v>
      </c>
      <c r="N28" s="147"/>
      <c r="O28" s="82">
        <f t="shared" si="2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7"/>
        <v>0</v>
      </c>
      <c r="R28" s="68" t="str">
        <f t="shared" ca="1" si="8"/>
        <v/>
      </c>
      <c r="S28" s="87">
        <f t="shared" ca="1" si="9"/>
        <v>0</v>
      </c>
    </row>
    <row r="29" spans="1:19" x14ac:dyDescent="0.2">
      <c r="A29" s="96">
        <f t="shared" ca="1" si="5"/>
        <v>45616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Mi</v>
      </c>
      <c r="N29" s="147"/>
      <c r="O29" s="82">
        <f t="shared" si="2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7"/>
        <v>0</v>
      </c>
      <c r="R29" s="68" t="str">
        <f t="shared" ca="1" si="8"/>
        <v/>
      </c>
      <c r="S29" s="87">
        <f t="shared" ca="1" si="9"/>
        <v>0</v>
      </c>
    </row>
    <row r="30" spans="1:19" x14ac:dyDescent="0.2">
      <c r="A30" s="96">
        <f t="shared" ca="1" si="5"/>
        <v>45617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Do</v>
      </c>
      <c r="N30" s="147"/>
      <c r="O30" s="82">
        <f t="shared" si="2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7"/>
        <v>0</v>
      </c>
      <c r="R30" s="68" t="str">
        <f t="shared" ca="1" si="8"/>
        <v/>
      </c>
      <c r="S30" s="87">
        <f t="shared" ca="1" si="9"/>
        <v>0</v>
      </c>
    </row>
    <row r="31" spans="1:19" x14ac:dyDescent="0.2">
      <c r="A31" s="96">
        <f t="shared" ca="1" si="5"/>
        <v>45618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Fr</v>
      </c>
      <c r="N31" s="147"/>
      <c r="O31" s="82">
        <f t="shared" si="2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7"/>
        <v>0</v>
      </c>
      <c r="R31" s="68" t="str">
        <f t="shared" ca="1" si="8"/>
        <v/>
      </c>
      <c r="S31" s="87">
        <f t="shared" ca="1" si="9"/>
        <v>0</v>
      </c>
    </row>
    <row r="32" spans="1:19" x14ac:dyDescent="0.2">
      <c r="A32" s="96">
        <f t="shared" ca="1" si="5"/>
        <v>45619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frei</v>
      </c>
      <c r="N32" s="147"/>
      <c r="O32" s="82">
        <f t="shared" si="2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7"/>
        <v>0</v>
      </c>
      <c r="R32" s="68" t="str">
        <f t="shared" ca="1" si="8"/>
        <v/>
      </c>
      <c r="S32" s="87">
        <f t="shared" ca="1" si="9"/>
        <v>0</v>
      </c>
    </row>
    <row r="33" spans="1:19" x14ac:dyDescent="0.2">
      <c r="A33" s="96">
        <f t="shared" ca="1" si="5"/>
        <v>45620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>
        <f t="shared" ca="1" si="1"/>
        <v>0</v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frei</v>
      </c>
      <c r="N33" s="147"/>
      <c r="O33" s="82">
        <f t="shared" si="2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7"/>
        <v>0</v>
      </c>
      <c r="R33" s="68" t="str">
        <f t="shared" ca="1" si="8"/>
        <v/>
      </c>
      <c r="S33" s="87">
        <f t="shared" ca="1" si="9"/>
        <v>0</v>
      </c>
    </row>
    <row r="34" spans="1:19" x14ac:dyDescent="0.2">
      <c r="A34" s="96">
        <f t="shared" ca="1" si="5"/>
        <v>45621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Mo</v>
      </c>
      <c r="N34" s="147"/>
      <c r="O34" s="82">
        <f t="shared" si="2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7"/>
        <v>0</v>
      </c>
      <c r="R34" s="68" t="str">
        <f t="shared" ca="1" si="8"/>
        <v/>
      </c>
      <c r="S34" s="87">
        <f t="shared" ca="1" si="9"/>
        <v>0</v>
      </c>
    </row>
    <row r="35" spans="1:19" x14ac:dyDescent="0.2">
      <c r="A35" s="96">
        <f t="shared" ca="1" si="5"/>
        <v>45622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Di</v>
      </c>
      <c r="N35" s="147"/>
      <c r="O35" s="82">
        <f t="shared" si="2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7"/>
        <v>0</v>
      </c>
      <c r="R35" s="68" t="str">
        <f t="shared" ca="1" si="8"/>
        <v/>
      </c>
      <c r="S35" s="87">
        <f t="shared" ca="1" si="9"/>
        <v>0</v>
      </c>
    </row>
    <row r="36" spans="1:19" x14ac:dyDescent="0.2">
      <c r="A36" s="96">
        <f t="shared" ca="1" si="5"/>
        <v>45623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Mi</v>
      </c>
      <c r="N36" s="147"/>
      <c r="O36" s="82">
        <f t="shared" si="2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7"/>
        <v>0</v>
      </c>
      <c r="R36" s="68" t="str">
        <f t="shared" ca="1" si="8"/>
        <v/>
      </c>
      <c r="S36" s="87">
        <f t="shared" ca="1" si="9"/>
        <v>0</v>
      </c>
    </row>
    <row r="37" spans="1:19" x14ac:dyDescent="0.2">
      <c r="A37" s="96">
        <f t="shared" ca="1" si="5"/>
        <v>45624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Do</v>
      </c>
      <c r="N37" s="147"/>
      <c r="O37" s="82">
        <f t="shared" si="2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7"/>
        <v>0</v>
      </c>
      <c r="R37" s="68" t="str">
        <f t="shared" ca="1" si="8"/>
        <v/>
      </c>
      <c r="S37" s="87">
        <f t="shared" ca="1" si="9"/>
        <v>0</v>
      </c>
    </row>
    <row r="38" spans="1:19" x14ac:dyDescent="0.2">
      <c r="A38" s="96">
        <f t="shared" ca="1" si="5"/>
        <v>45625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Fr</v>
      </c>
      <c r="N38" s="147"/>
      <c r="O38" s="82">
        <f t="shared" si="2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7"/>
        <v>0</v>
      </c>
      <c r="R38" s="68" t="str">
        <f t="shared" ca="1" si="8"/>
        <v/>
      </c>
      <c r="S38" s="87">
        <f t="shared" ca="1" si="9"/>
        <v>0</v>
      </c>
    </row>
    <row r="39" spans="1:19" x14ac:dyDescent="0.2">
      <c r="A39" s="96">
        <f t="shared" ca="1" si="5"/>
        <v>45626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1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frei</v>
      </c>
      <c r="N39" s="147"/>
      <c r="O39" s="82">
        <f t="shared" si="2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7"/>
        <v>0</v>
      </c>
      <c r="R39" s="68" t="str">
        <f t="shared" ca="1" si="8"/>
        <v/>
      </c>
      <c r="S39" s="87">
        <f t="shared" ca="1" si="9"/>
        <v>0</v>
      </c>
    </row>
    <row r="40" spans="1:19" x14ac:dyDescent="0.2">
      <c r="A40" s="289" t="str">
        <f t="shared" ca="1" si="5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>
        <f t="shared" si="2"/>
        <v>0</v>
      </c>
      <c r="P40" s="82">
        <f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si="7"/>
        <v>0</v>
      </c>
      <c r="R40" s="68" t="str">
        <f t="shared" si="8"/>
        <v/>
      </c>
      <c r="S40" s="87">
        <f t="shared" ca="1" si="9"/>
        <v>0</v>
      </c>
    </row>
    <row r="41" spans="1:19" ht="4.5" customHeight="1" x14ac:dyDescent="0.2">
      <c r="A41" s="303"/>
      <c r="B41" s="280"/>
      <c r="C41" s="281"/>
      <c r="D41" s="281"/>
      <c r="E41" s="281"/>
      <c r="F41" s="280"/>
      <c r="G41" s="280"/>
      <c r="H41" s="281"/>
      <c r="I41" s="278"/>
      <c r="J41" s="281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5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IF(OR(I43&gt;0,G5&gt;0,H5&gt;0),IF(AND(Okt!I43=0,Okt!G5=0,Okt!H5=0),Start!B40,Okt!L47),0)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10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2.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3.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9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password="DB57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J10:K35 J37:K39 J36 J41:K41 A40 A41:H41 A10:H39">
    <cfRule type="expression" dxfId="84" priority="95">
      <formula>WEEKDAY($A10,2)&gt;5</formula>
    </cfRule>
  </conditionalFormatting>
  <conditionalFormatting sqref="I10:I39 I41">
    <cfRule type="expression" dxfId="83" priority="85">
      <formula>(G10-F10)&gt;6/24</formula>
    </cfRule>
    <cfRule type="expression" dxfId="82" priority="86">
      <formula>(E10-D10)&gt;6/24</formula>
    </cfRule>
    <cfRule type="expression" dxfId="81" priority="87">
      <formula>(C10-B10)&gt;6/24</formula>
    </cfRule>
    <cfRule type="expression" dxfId="80" priority="89">
      <formula>WEEKDAY($A10,2)&gt;5</formula>
    </cfRule>
  </conditionalFormatting>
  <conditionalFormatting sqref="I10:I39 I41">
    <cfRule type="cellIs" dxfId="79" priority="88" operator="greaterThan">
      <formula>0.416666666666667</formula>
    </cfRule>
  </conditionalFormatting>
  <conditionalFormatting sqref="L47">
    <cfRule type="cellIs" dxfId="78" priority="82" operator="greaterThan">
      <formula>80</formula>
    </cfRule>
  </conditionalFormatting>
  <conditionalFormatting sqref="L41 L10:L39">
    <cfRule type="expression" dxfId="77" priority="46">
      <formula>WEEKDAY($A10,2)&gt;5</formula>
    </cfRule>
  </conditionalFormatting>
  <conditionalFormatting sqref="L41 L10:L39">
    <cfRule type="cellIs" dxfId="76" priority="45" operator="greaterThan">
      <formula>2.08333333333333</formula>
    </cfRule>
  </conditionalFormatting>
  <conditionalFormatting sqref="L41 L10:L39">
    <cfRule type="expression" dxfId="75" priority="44">
      <formula>L10=""</formula>
    </cfRule>
  </conditionalFormatting>
  <conditionalFormatting sqref="K36">
    <cfRule type="expression" dxfId="74" priority="43">
      <formula>WEEKDAY($A36,2)&gt;5</formula>
    </cfRule>
  </conditionalFormatting>
  <conditionalFormatting sqref="A40 A41:K41 A10:K39">
    <cfRule type="expression" dxfId="73" priority="42">
      <formula>$M10="frei"</formula>
    </cfRule>
  </conditionalFormatting>
  <conditionalFormatting sqref="K37">
    <cfRule type="expression" dxfId="72" priority="41">
      <formula>WEEKDAY($A37,2)&gt;5</formula>
    </cfRule>
  </conditionalFormatting>
  <conditionalFormatting sqref="M10:M41">
    <cfRule type="expression" dxfId="71" priority="39">
      <formula>M10="FD"</formula>
    </cfRule>
    <cfRule type="expression" dxfId="70" priority="40">
      <formula>M10="frei"</formula>
    </cfRule>
  </conditionalFormatting>
  <conditionalFormatting sqref="K36">
    <cfRule type="expression" dxfId="69" priority="38">
      <formula>WEEKDAY($A36,2)&gt;5</formula>
    </cfRule>
  </conditionalFormatting>
  <conditionalFormatting sqref="K36">
    <cfRule type="expression" dxfId="68" priority="37">
      <formula>WEEKDAY($A36,2)&gt;5</formula>
    </cfRule>
  </conditionalFormatting>
  <conditionalFormatting sqref="K36">
    <cfRule type="expression" dxfId="67" priority="36">
      <formula>WEEKDAY($A36,2)&gt;5</formula>
    </cfRule>
  </conditionalFormatting>
  <conditionalFormatting sqref="K36">
    <cfRule type="expression" dxfId="66" priority="35">
      <formula>WEEKDAY($A36,2)&gt;5</formula>
    </cfRule>
  </conditionalFormatting>
  <conditionalFormatting sqref="A42">
    <cfRule type="expression" dxfId="65" priority="27">
      <formula>$M42="frei"</formula>
    </cfRule>
  </conditionalFormatting>
  <conditionalFormatting sqref="B40:F40 J40:K40 H40">
    <cfRule type="expression" dxfId="64" priority="26">
      <formula>WEEKDAY($A40,2)&gt;5</formula>
    </cfRule>
  </conditionalFormatting>
  <conditionalFormatting sqref="I40">
    <cfRule type="expression" dxfId="63" priority="21">
      <formula>(G40-F40)&gt;6/24</formula>
    </cfRule>
    <cfRule type="expression" dxfId="62" priority="22">
      <formula>(E40-D40)&gt;6/24</formula>
    </cfRule>
    <cfRule type="expression" dxfId="61" priority="23">
      <formula>(C40-B40)&gt;6/24</formula>
    </cfRule>
    <cfRule type="expression" dxfId="60" priority="25">
      <formula>WEEKDAY($A40,2)&gt;5</formula>
    </cfRule>
  </conditionalFormatting>
  <conditionalFormatting sqref="I40">
    <cfRule type="cellIs" dxfId="59" priority="24" operator="greaterThan">
      <formula>0.416666666666667</formula>
    </cfRule>
  </conditionalFormatting>
  <conditionalFormatting sqref="B40:F40 H40:K40">
    <cfRule type="expression" dxfId="58" priority="17">
      <formula>$M40="frei"</formula>
    </cfRule>
  </conditionalFormatting>
  <conditionalFormatting sqref="G40">
    <cfRule type="expression" dxfId="57" priority="16">
      <formula>WEEKDAY($A40,2)&gt;5</formula>
    </cfRule>
  </conditionalFormatting>
  <conditionalFormatting sqref="G40">
    <cfRule type="expression" dxfId="56" priority="15">
      <formula>$M40="frei"</formula>
    </cfRule>
  </conditionalFormatting>
  <conditionalFormatting sqref="L40">
    <cfRule type="expression" dxfId="55" priority="14">
      <formula>WEEKDAY($A40,2)&gt;5</formula>
    </cfRule>
  </conditionalFormatting>
  <conditionalFormatting sqref="L40">
    <cfRule type="cellIs" dxfId="54" priority="13" operator="greaterThan">
      <formula>2.08333333333333</formula>
    </cfRule>
  </conditionalFormatting>
  <conditionalFormatting sqref="L40">
    <cfRule type="expression" dxfId="53" priority="12">
      <formula>L40=""</formula>
    </cfRule>
  </conditionalFormatting>
  <conditionalFormatting sqref="J43 L43">
    <cfRule type="expression" dxfId="52" priority="9">
      <formula>WEEKDAY($A43,2)&gt;5</formula>
    </cfRule>
  </conditionalFormatting>
  <conditionalFormatting sqref="J43 L43">
    <cfRule type="expression" dxfId="51" priority="8">
      <formula>$M43="frei"</formula>
    </cfRule>
  </conditionalFormatting>
  <conditionalFormatting sqref="J42 L42">
    <cfRule type="expression" dxfId="50" priority="7">
      <formula>WEEKDAY($A42,2)&gt;5</formula>
    </cfRule>
  </conditionalFormatting>
  <conditionalFormatting sqref="J42 L42">
    <cfRule type="expression" dxfId="49" priority="6">
      <formula>$M42="frei"</formula>
    </cfRule>
  </conditionalFormatting>
  <conditionalFormatting sqref="K42">
    <cfRule type="expression" dxfId="48" priority="5">
      <formula>WEEKDAY($A42,2)&gt;5</formula>
    </cfRule>
  </conditionalFormatting>
  <conditionalFormatting sqref="K42">
    <cfRule type="expression" dxfId="47" priority="4">
      <formula>$M42="frei"</formula>
    </cfRule>
  </conditionalFormatting>
  <conditionalFormatting sqref="K43">
    <cfRule type="expression" dxfId="46" priority="3">
      <formula>WEEKDAY($A43,2)&gt;5</formula>
    </cfRule>
  </conditionalFormatting>
  <conditionalFormatting sqref="K43">
    <cfRule type="expression" dxfId="45" priority="2">
      <formula>$M43="frei"</formula>
    </cfRule>
  </conditionalFormatting>
  <conditionalFormatting sqref="I46">
    <cfRule type="expression" dxfId="44" priority="1">
      <formula>$I$46&gt;0</formula>
    </cfRule>
  </conditionalFormatting>
  <dataValidations count="1">
    <dataValidation showDropDown="1" showInputMessage="1" showErrorMessage="1" sqref="B36"/>
  </dataValidations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opLeftCell="A7" zoomScaleNormal="100" workbookViewId="0">
      <selection activeCell="B10" sqref="B1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710937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4.42578125" style="78" customWidth="1"/>
    <col min="15" max="15" width="9.85546875" style="78" customWidth="1"/>
    <col min="16" max="16" width="10.7109375" style="78" bestFit="1" customWidth="1"/>
    <col min="17" max="17" width="9.28515625" style="78" bestFit="1" customWidth="1"/>
    <col min="18" max="18" width="9.140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45627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+Nov!L7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20</v>
      </c>
      <c r="E5" s="74">
        <f>Start!B29</f>
        <v>0.33333333333333331</v>
      </c>
      <c r="F5" s="74">
        <f ca="1">+D5*E5</f>
        <v>6.6666666666666661</v>
      </c>
      <c r="G5" s="74">
        <f>+L6*E5</f>
        <v>0</v>
      </c>
      <c r="H5" s="74">
        <f>SUM(J10:J40)</f>
        <v>0</v>
      </c>
      <c r="I5" s="74">
        <f ca="1">+F5-G5-H5</f>
        <v>6.6666666666666661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20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45627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 t="s">
        <v>81</v>
      </c>
      <c r="L10" s="133">
        <f ca="1">IF(TEXT(A10,"TTT")="So",SUM(I10),"")</f>
        <v>0</v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40" si="1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ca="1" si="2">O10-P10</f>
        <v>0</v>
      </c>
      <c r="R10" s="68" t="str">
        <f ca="1">IF(Q10&lt;&gt;0,S9+Q10,"")</f>
        <v/>
      </c>
      <c r="S10" s="87">
        <f t="shared" ref="S10:S40" ca="1" si="3">S9+Q10</f>
        <v>0</v>
      </c>
    </row>
    <row r="11" spans="1:21" x14ac:dyDescent="0.2">
      <c r="A11" s="96">
        <f ca="1">IF(A10="","",IF(MONTH(A10+1)=MONTH($A$10),A10+1,""))</f>
        <v>45628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t="shared" ref="L11:L40" ca="1" si="4">IF(TEXT(A11,"TTT")="So",SUM(I5:I11),"")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Mo</v>
      </c>
      <c r="N11" s="147"/>
      <c r="O11" s="82">
        <f t="shared" si="1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2"/>
        <v>0</v>
      </c>
      <c r="R11" s="68" t="str">
        <f t="shared" ref="R11:R40" ca="1" si="5">IF(Q11&lt;&gt;0,S10+Q11,"")</f>
        <v/>
      </c>
      <c r="S11" s="87">
        <f t="shared" ca="1" si="3"/>
        <v>0</v>
      </c>
    </row>
    <row r="12" spans="1:21" x14ac:dyDescent="0.2">
      <c r="A12" s="96">
        <f t="shared" ref="A12:A40" ca="1" si="6">IF(A11="","",IF(MONTH(A11+1)=MONTH($A$10),A11+1,""))</f>
        <v>45629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ca="1" si="4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Di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ca="1">O12-P12</f>
        <v>0</v>
      </c>
      <c r="R12" s="68" t="str">
        <f t="shared" ca="1" si="5"/>
        <v/>
      </c>
      <c r="S12" s="87">
        <f t="shared" ca="1" si="3"/>
        <v>0</v>
      </c>
    </row>
    <row r="13" spans="1:21" x14ac:dyDescent="0.2">
      <c r="A13" s="96">
        <f t="shared" ca="1" si="6"/>
        <v>45630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4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Mi</v>
      </c>
      <c r="N13" s="147"/>
      <c r="O13" s="82">
        <f t="shared" si="1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2"/>
        <v>0</v>
      </c>
      <c r="R13" s="68" t="str">
        <f ca="1">IF(Q13&lt;&gt;0,S12+Q13,"")</f>
        <v/>
      </c>
      <c r="S13" s="87">
        <f t="shared" ca="1" si="3"/>
        <v>0</v>
      </c>
    </row>
    <row r="14" spans="1:21" x14ac:dyDescent="0.2">
      <c r="A14" s="96">
        <f t="shared" ca="1" si="6"/>
        <v>45631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4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Do</v>
      </c>
      <c r="N14" s="147"/>
      <c r="O14" s="82">
        <f t="shared" si="1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2"/>
        <v>0</v>
      </c>
      <c r="R14" s="68" t="str">
        <f t="shared" ref="R14:R16" ca="1" si="7">IF(Q14&lt;&gt;0,S13+Q14,"")</f>
        <v/>
      </c>
      <c r="S14" s="87">
        <f t="shared" ca="1" si="3"/>
        <v>0</v>
      </c>
    </row>
    <row r="15" spans="1:21" x14ac:dyDescent="0.2">
      <c r="A15" s="96">
        <f t="shared" ca="1" si="6"/>
        <v>45632</v>
      </c>
      <c r="B15" s="75"/>
      <c r="C15" s="72"/>
      <c r="D15" s="72"/>
      <c r="E15" s="5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4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Fr</v>
      </c>
      <c r="N15" s="147"/>
      <c r="O15" s="82">
        <f t="shared" si="1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2"/>
        <v>0</v>
      </c>
      <c r="R15" s="68" t="str">
        <f t="shared" ca="1" si="7"/>
        <v/>
      </c>
      <c r="S15" s="87">
        <f t="shared" ca="1" si="3"/>
        <v>0</v>
      </c>
    </row>
    <row r="16" spans="1:21" x14ac:dyDescent="0.2">
      <c r="A16" s="96">
        <f t="shared" ca="1" si="6"/>
        <v>45633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4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frei</v>
      </c>
      <c r="N16" s="147"/>
      <c r="O16" s="82">
        <f t="shared" si="1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2"/>
        <v>0</v>
      </c>
      <c r="R16" s="68" t="str">
        <f t="shared" ca="1" si="7"/>
        <v/>
      </c>
      <c r="S16" s="87">
        <f t="shared" ca="1" si="3"/>
        <v>0</v>
      </c>
    </row>
    <row r="17" spans="1:19" x14ac:dyDescent="0.2">
      <c r="A17" s="96">
        <f t="shared" ca="1" si="6"/>
        <v>45634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 t="s">
        <v>33</v>
      </c>
      <c r="L17" s="95">
        <f t="shared" ca="1" si="4"/>
        <v>0</v>
      </c>
      <c r="M17" s="159" t="str">
        <f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frei</v>
      </c>
      <c r="N17" s="147"/>
      <c r="O17" s="82">
        <f t="shared" si="1"/>
        <v>0</v>
      </c>
      <c r="P17" s="82">
        <f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si="2"/>
        <v>0</v>
      </c>
      <c r="R17" s="68" t="str">
        <f t="shared" si="5"/>
        <v/>
      </c>
      <c r="S17" s="87">
        <f t="shared" ca="1" si="3"/>
        <v>0</v>
      </c>
    </row>
    <row r="18" spans="1:19" x14ac:dyDescent="0.2">
      <c r="A18" s="96">
        <f t="shared" ca="1" si="6"/>
        <v>45635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4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Mo</v>
      </c>
      <c r="N18" s="147"/>
      <c r="O18" s="82">
        <f t="shared" si="1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3"/>
        <v>0</v>
      </c>
    </row>
    <row r="19" spans="1:19" x14ac:dyDescent="0.2">
      <c r="A19" s="96">
        <f t="shared" ca="1" si="6"/>
        <v>45636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4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Di</v>
      </c>
      <c r="N19" s="147"/>
      <c r="O19" s="82">
        <f t="shared" si="1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2"/>
        <v>0</v>
      </c>
      <c r="R19" s="68" t="str">
        <f t="shared" ca="1" si="5"/>
        <v/>
      </c>
      <c r="S19" s="87">
        <f t="shared" ca="1" si="3"/>
        <v>0</v>
      </c>
    </row>
    <row r="20" spans="1:19" x14ac:dyDescent="0.2">
      <c r="A20" s="96">
        <f t="shared" ca="1" si="6"/>
        <v>45637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4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Mi</v>
      </c>
      <c r="N20" s="147"/>
      <c r="O20" s="82">
        <f t="shared" si="1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2"/>
        <v>0</v>
      </c>
      <c r="R20" s="68" t="str">
        <f t="shared" ca="1" si="5"/>
        <v/>
      </c>
      <c r="S20" s="87">
        <f t="shared" ca="1" si="3"/>
        <v>0</v>
      </c>
    </row>
    <row r="21" spans="1:19" x14ac:dyDescent="0.2">
      <c r="A21" s="96">
        <f t="shared" ca="1" si="6"/>
        <v>45638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4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Do</v>
      </c>
      <c r="N21" s="147"/>
      <c r="O21" s="82">
        <f t="shared" si="1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2"/>
        <v>0</v>
      </c>
      <c r="R21" s="68" t="str">
        <f t="shared" ca="1" si="5"/>
        <v/>
      </c>
      <c r="S21" s="87">
        <f t="shared" ca="1" si="3"/>
        <v>0</v>
      </c>
    </row>
    <row r="22" spans="1:19" x14ac:dyDescent="0.2">
      <c r="A22" s="96">
        <f t="shared" ca="1" si="6"/>
        <v>45639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4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Fr</v>
      </c>
      <c r="N22" s="147"/>
      <c r="O22" s="82">
        <f t="shared" si="1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2"/>
        <v>0</v>
      </c>
      <c r="R22" s="68" t="str">
        <f t="shared" ca="1" si="5"/>
        <v/>
      </c>
      <c r="S22" s="87">
        <f t="shared" ca="1" si="3"/>
        <v>0</v>
      </c>
    </row>
    <row r="23" spans="1:19" x14ac:dyDescent="0.2">
      <c r="A23" s="96">
        <f t="shared" ca="1" si="6"/>
        <v>45640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4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frei</v>
      </c>
      <c r="N23" s="147"/>
      <c r="O23" s="82">
        <f t="shared" si="1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2"/>
        <v>0</v>
      </c>
      <c r="R23" s="68" t="str">
        <f t="shared" ca="1" si="5"/>
        <v/>
      </c>
      <c r="S23" s="87">
        <f t="shared" ca="1" si="3"/>
        <v>0</v>
      </c>
    </row>
    <row r="24" spans="1:19" x14ac:dyDescent="0.2">
      <c r="A24" s="96">
        <f t="shared" ca="1" si="6"/>
        <v>45641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>
        <f t="shared" ca="1" si="4"/>
        <v>0</v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frei</v>
      </c>
      <c r="N24" s="147"/>
      <c r="O24" s="82">
        <f t="shared" si="1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2"/>
        <v>0</v>
      </c>
      <c r="R24" s="68" t="str">
        <f t="shared" ca="1" si="5"/>
        <v/>
      </c>
      <c r="S24" s="87">
        <f t="shared" ca="1" si="3"/>
        <v>0</v>
      </c>
    </row>
    <row r="25" spans="1:19" x14ac:dyDescent="0.2">
      <c r="A25" s="96">
        <f t="shared" ca="1" si="6"/>
        <v>45642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4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Mo</v>
      </c>
      <c r="N25" s="147"/>
      <c r="O25" s="82">
        <f t="shared" si="1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2"/>
        <v>0</v>
      </c>
      <c r="R25" s="68" t="str">
        <f t="shared" ca="1" si="5"/>
        <v/>
      </c>
      <c r="S25" s="87">
        <f t="shared" ca="1" si="3"/>
        <v>0</v>
      </c>
    </row>
    <row r="26" spans="1:19" x14ac:dyDescent="0.2">
      <c r="A26" s="96">
        <f t="shared" ca="1" si="6"/>
        <v>45643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4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Di</v>
      </c>
      <c r="N26" s="147"/>
      <c r="O26" s="82">
        <f t="shared" si="1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2"/>
        <v>0</v>
      </c>
      <c r="R26" s="68" t="str">
        <f t="shared" ca="1" si="5"/>
        <v/>
      </c>
      <c r="S26" s="87">
        <f t="shared" ca="1" si="3"/>
        <v>0</v>
      </c>
    </row>
    <row r="27" spans="1:19" x14ac:dyDescent="0.2">
      <c r="A27" s="96">
        <f t="shared" ca="1" si="6"/>
        <v>45644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4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Mi</v>
      </c>
      <c r="N27" s="147"/>
      <c r="O27" s="82">
        <f t="shared" si="1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2"/>
        <v>0</v>
      </c>
      <c r="R27" s="68" t="str">
        <f t="shared" ca="1" si="5"/>
        <v/>
      </c>
      <c r="S27" s="87">
        <f t="shared" ca="1" si="3"/>
        <v>0</v>
      </c>
    </row>
    <row r="28" spans="1:19" x14ac:dyDescent="0.2">
      <c r="A28" s="96">
        <f t="shared" ca="1" si="6"/>
        <v>45645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4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Do</v>
      </c>
      <c r="N28" s="147"/>
      <c r="O28" s="82">
        <f t="shared" si="1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2"/>
        <v>0</v>
      </c>
      <c r="R28" s="68" t="str">
        <f t="shared" ca="1" si="5"/>
        <v/>
      </c>
      <c r="S28" s="87">
        <f t="shared" ca="1" si="3"/>
        <v>0</v>
      </c>
    </row>
    <row r="29" spans="1:19" x14ac:dyDescent="0.2">
      <c r="A29" s="96">
        <f t="shared" ca="1" si="6"/>
        <v>45646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4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</v>
      </c>
      <c r="N29" s="147"/>
      <c r="O29" s="82">
        <f t="shared" si="1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2"/>
        <v>0</v>
      </c>
      <c r="R29" s="68" t="str">
        <f t="shared" ca="1" si="5"/>
        <v/>
      </c>
      <c r="S29" s="87">
        <f t="shared" ca="1" si="3"/>
        <v>0</v>
      </c>
    </row>
    <row r="30" spans="1:19" x14ac:dyDescent="0.2">
      <c r="A30" s="96">
        <f t="shared" ca="1" si="6"/>
        <v>45647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4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frei</v>
      </c>
      <c r="N30" s="147"/>
      <c r="O30" s="82">
        <f t="shared" si="1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2"/>
        <v>0</v>
      </c>
      <c r="R30" s="68" t="str">
        <f t="shared" ca="1" si="5"/>
        <v/>
      </c>
      <c r="S30" s="87">
        <f t="shared" ca="1" si="3"/>
        <v>0</v>
      </c>
    </row>
    <row r="31" spans="1:19" x14ac:dyDescent="0.2">
      <c r="A31" s="96">
        <f t="shared" ca="1" si="6"/>
        <v>45648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>
        <f t="shared" ca="1" si="4"/>
        <v>0</v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frei</v>
      </c>
      <c r="N31" s="147"/>
      <c r="O31" s="82">
        <f t="shared" si="1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2"/>
        <v>0</v>
      </c>
      <c r="R31" s="68" t="str">
        <f t="shared" ca="1" si="5"/>
        <v/>
      </c>
      <c r="S31" s="87">
        <f t="shared" ca="1" si="3"/>
        <v>0</v>
      </c>
    </row>
    <row r="32" spans="1:19" x14ac:dyDescent="0.2">
      <c r="A32" s="96">
        <f t="shared" ca="1" si="6"/>
        <v>45649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4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Mo</v>
      </c>
      <c r="N32" s="147"/>
      <c r="O32" s="82">
        <f t="shared" si="1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2"/>
        <v>0</v>
      </c>
      <c r="R32" s="68" t="str">
        <f t="shared" ca="1" si="5"/>
        <v/>
      </c>
      <c r="S32" s="87">
        <f t="shared" ca="1" si="3"/>
        <v>0</v>
      </c>
    </row>
    <row r="33" spans="1:19" x14ac:dyDescent="0.2">
      <c r="A33" s="96">
        <f t="shared" ca="1" si="6"/>
        <v>45650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 t="s">
        <v>222</v>
      </c>
      <c r="L33" s="95" t="str">
        <f t="shared" ca="1" si="4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Di</v>
      </c>
      <c r="N33" s="147"/>
      <c r="O33" s="82">
        <f t="shared" si="1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2"/>
        <v>0</v>
      </c>
      <c r="R33" s="68" t="str">
        <f t="shared" ca="1" si="5"/>
        <v/>
      </c>
      <c r="S33" s="87">
        <f t="shared" ca="1" si="3"/>
        <v>0</v>
      </c>
    </row>
    <row r="34" spans="1:19" x14ac:dyDescent="0.2">
      <c r="A34" s="96">
        <f t="shared" ca="1" si="6"/>
        <v>45651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 t="s">
        <v>51</v>
      </c>
      <c r="L34" s="95" t="str">
        <f t="shared" ca="1" si="4"/>
        <v/>
      </c>
      <c r="M34" s="159" t="str">
        <f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frei</v>
      </c>
      <c r="N34" s="147"/>
      <c r="O34" s="82">
        <f t="shared" si="1"/>
        <v>0</v>
      </c>
      <c r="P34" s="82">
        <f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si="2"/>
        <v>0</v>
      </c>
      <c r="R34" s="68" t="str">
        <f t="shared" si="5"/>
        <v/>
      </c>
      <c r="S34" s="87">
        <f t="shared" ca="1" si="3"/>
        <v>0</v>
      </c>
    </row>
    <row r="35" spans="1:19" x14ac:dyDescent="0.2">
      <c r="A35" s="96">
        <f t="shared" ca="1" si="6"/>
        <v>45652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 t="s">
        <v>52</v>
      </c>
      <c r="L35" s="95" t="str">
        <f t="shared" ca="1" si="4"/>
        <v/>
      </c>
      <c r="M35" s="159" t="str">
        <f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frei</v>
      </c>
      <c r="N35" s="147"/>
      <c r="O35" s="82">
        <f t="shared" si="1"/>
        <v>0</v>
      </c>
      <c r="P35" s="82">
        <f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si="2"/>
        <v>0</v>
      </c>
      <c r="R35" s="68" t="str">
        <f t="shared" si="5"/>
        <v/>
      </c>
      <c r="S35" s="87">
        <f t="shared" ca="1" si="3"/>
        <v>0</v>
      </c>
    </row>
    <row r="36" spans="1:19" x14ac:dyDescent="0.2">
      <c r="A36" s="96">
        <f t="shared" ca="1" si="6"/>
        <v>45653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4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Fr</v>
      </c>
      <c r="N36" s="147"/>
      <c r="O36" s="82">
        <f t="shared" si="1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2"/>
        <v>0</v>
      </c>
      <c r="R36" s="68" t="str">
        <f t="shared" ca="1" si="5"/>
        <v/>
      </c>
      <c r="S36" s="87">
        <f t="shared" ca="1" si="3"/>
        <v>0</v>
      </c>
    </row>
    <row r="37" spans="1:19" x14ac:dyDescent="0.2">
      <c r="A37" s="96">
        <f t="shared" ca="1" si="6"/>
        <v>45654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4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frei</v>
      </c>
      <c r="N37" s="147"/>
      <c r="O37" s="82">
        <f t="shared" si="1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2"/>
        <v>0</v>
      </c>
      <c r="R37" s="68" t="str">
        <f t="shared" ca="1" si="5"/>
        <v/>
      </c>
      <c r="S37" s="87">
        <f t="shared" ca="1" si="3"/>
        <v>0</v>
      </c>
    </row>
    <row r="38" spans="1:19" x14ac:dyDescent="0.2">
      <c r="A38" s="96">
        <f t="shared" ca="1" si="6"/>
        <v>45655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>
        <f t="shared" ca="1" si="4"/>
        <v>0</v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frei</v>
      </c>
      <c r="N38" s="147"/>
      <c r="O38" s="82">
        <f t="shared" si="1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2"/>
        <v>0</v>
      </c>
      <c r="R38" s="68" t="str">
        <f t="shared" ca="1" si="5"/>
        <v/>
      </c>
      <c r="S38" s="87">
        <f t="shared" ca="1" si="3"/>
        <v>0</v>
      </c>
    </row>
    <row r="39" spans="1:19" x14ac:dyDescent="0.2">
      <c r="A39" s="96">
        <f t="shared" ca="1" si="6"/>
        <v>45656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4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Mo</v>
      </c>
      <c r="N39" s="147"/>
      <c r="O39" s="82">
        <f t="shared" si="1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2"/>
        <v>0</v>
      </c>
      <c r="R39" s="68" t="str">
        <f t="shared" ca="1" si="5"/>
        <v/>
      </c>
      <c r="S39" s="87">
        <f t="shared" ca="1" si="3"/>
        <v>0</v>
      </c>
    </row>
    <row r="40" spans="1:19" x14ac:dyDescent="0.2">
      <c r="A40" s="96">
        <f t="shared" ca="1" si="6"/>
        <v>45657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 t="s">
        <v>223</v>
      </c>
      <c r="L40" s="95" t="str">
        <f t="shared" ca="1" si="4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Di</v>
      </c>
      <c r="N40" s="147"/>
      <c r="O40" s="82">
        <f t="shared" si="1"/>
        <v>0</v>
      </c>
      <c r="P40" s="82">
        <f ca="1"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ca="1" si="2"/>
        <v>0</v>
      </c>
      <c r="R40" s="68" t="str">
        <f t="shared" ca="1" si="5"/>
        <v/>
      </c>
      <c r="S40" s="87">
        <f t="shared" ca="1" si="3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IF(OR(I43&gt;0,G5&gt;0,H5&gt;0),IF(AND(Nov!I43=0,Nov!G5=0,Nov!H5=0),Start!B40,Nov!L47),0)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19.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4.2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4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2" spans="1:11" x14ac:dyDescent="0.2"/>
    <row r="55" spans="1:11" x14ac:dyDescent="0.2"/>
  </sheetData>
  <sheetProtection password="DB57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J10:K11 A11:H39 J13:K39 J12 B10:H10 J41:K41 A40 A41:H41">
    <cfRule type="expression" dxfId="43" priority="94">
      <formula>WEEKDAY($A10,2)&gt;5</formula>
    </cfRule>
  </conditionalFormatting>
  <conditionalFormatting sqref="I10:I39 I41">
    <cfRule type="expression" dxfId="42" priority="84">
      <formula>(G10-F10)&gt;6/24</formula>
    </cfRule>
    <cfRule type="expression" dxfId="41" priority="85">
      <formula>(E10-D10)&gt;6/24</formula>
    </cfRule>
    <cfRule type="expression" dxfId="40" priority="86">
      <formula>(C10-B10)&gt;6/24</formula>
    </cfRule>
    <cfRule type="expression" dxfId="39" priority="88">
      <formula>WEEKDAY($A10,2)&gt;5</formula>
    </cfRule>
  </conditionalFormatting>
  <conditionalFormatting sqref="I10:I39 I41">
    <cfRule type="cellIs" dxfId="38" priority="87" operator="greaterThan">
      <formula>0.416666666666667</formula>
    </cfRule>
  </conditionalFormatting>
  <conditionalFormatting sqref="L47">
    <cfRule type="cellIs" dxfId="37" priority="77" operator="greaterThan">
      <formula>80</formula>
    </cfRule>
  </conditionalFormatting>
  <conditionalFormatting sqref="L10:L41">
    <cfRule type="expression" dxfId="36" priority="36">
      <formula>WEEKDAY($A10,2)&gt;5</formula>
    </cfRule>
  </conditionalFormatting>
  <conditionalFormatting sqref="L10:L41">
    <cfRule type="cellIs" dxfId="35" priority="35" operator="greaterThan">
      <formula>2.08333333333333</formula>
    </cfRule>
  </conditionalFormatting>
  <conditionalFormatting sqref="L10:L41">
    <cfRule type="expression" dxfId="34" priority="34">
      <formula>L10=""</formula>
    </cfRule>
  </conditionalFormatting>
  <conditionalFormatting sqref="K12">
    <cfRule type="expression" dxfId="33" priority="33">
      <formula>WEEKDAY($A12,2)&gt;5</formula>
    </cfRule>
  </conditionalFormatting>
  <conditionalFormatting sqref="A10">
    <cfRule type="expression" dxfId="32" priority="32">
      <formula>WEEKDAY($A10,2)&gt;5</formula>
    </cfRule>
  </conditionalFormatting>
  <conditionalFormatting sqref="A10:K39 A40 A41:K41">
    <cfRule type="expression" dxfId="31" priority="31">
      <formula>$M10="frei"</formula>
    </cfRule>
  </conditionalFormatting>
  <conditionalFormatting sqref="M10:M41">
    <cfRule type="expression" dxfId="30" priority="29">
      <formula>M10="FD"</formula>
    </cfRule>
    <cfRule type="expression" dxfId="29" priority="30">
      <formula>M10="frei"</formula>
    </cfRule>
  </conditionalFormatting>
  <conditionalFormatting sqref="A42">
    <cfRule type="expression" dxfId="28" priority="27">
      <formula>$M42="frei"</formula>
    </cfRule>
  </conditionalFormatting>
  <conditionalFormatting sqref="B40:F40 J40:K40 H40">
    <cfRule type="expression" dxfId="27" priority="26">
      <formula>WEEKDAY($A40,2)&gt;5</formula>
    </cfRule>
  </conditionalFormatting>
  <conditionalFormatting sqref="I40">
    <cfRule type="expression" dxfId="26" priority="21">
      <formula>(G40-F40)&gt;6/24</formula>
    </cfRule>
    <cfRule type="expression" dxfId="25" priority="22">
      <formula>(E40-D40)&gt;6/24</formula>
    </cfRule>
    <cfRule type="expression" dxfId="24" priority="23">
      <formula>(C40-B40)&gt;6/24</formula>
    </cfRule>
    <cfRule type="expression" dxfId="23" priority="25">
      <formula>WEEKDAY($A40,2)&gt;5</formula>
    </cfRule>
  </conditionalFormatting>
  <conditionalFormatting sqref="I40">
    <cfRule type="cellIs" dxfId="22" priority="24" operator="greaterThan">
      <formula>0.416666666666667</formula>
    </cfRule>
  </conditionalFormatting>
  <conditionalFormatting sqref="B40:F40 H40:K40">
    <cfRule type="expression" dxfId="21" priority="17">
      <formula>$M40="frei"</formula>
    </cfRule>
  </conditionalFormatting>
  <conditionalFormatting sqref="G40">
    <cfRule type="expression" dxfId="20" priority="16">
      <formula>WEEKDAY($A40,2)&gt;5</formula>
    </cfRule>
  </conditionalFormatting>
  <conditionalFormatting sqref="G40">
    <cfRule type="expression" dxfId="19" priority="15">
      <formula>$M40="frei"</formula>
    </cfRule>
  </conditionalFormatting>
  <conditionalFormatting sqref="J43 L43">
    <cfRule type="expression" dxfId="18" priority="9">
      <formula>WEEKDAY($A43,2)&gt;5</formula>
    </cfRule>
  </conditionalFormatting>
  <conditionalFormatting sqref="J43 L43">
    <cfRule type="expression" dxfId="17" priority="8">
      <formula>$M43="frei"</formula>
    </cfRule>
  </conditionalFormatting>
  <conditionalFormatting sqref="J42 L42">
    <cfRule type="expression" dxfId="16" priority="7">
      <formula>WEEKDAY($A42,2)&gt;5</formula>
    </cfRule>
  </conditionalFormatting>
  <conditionalFormatting sqref="J42 L42">
    <cfRule type="expression" dxfId="15" priority="6">
      <formula>$M42="frei"</formula>
    </cfRule>
  </conditionalFormatting>
  <conditionalFormatting sqref="K42">
    <cfRule type="expression" dxfId="14" priority="5">
      <formula>WEEKDAY($A42,2)&gt;5</formula>
    </cfRule>
  </conditionalFormatting>
  <conditionalFormatting sqref="K42">
    <cfRule type="expression" dxfId="13" priority="4">
      <formula>$M42="frei"</formula>
    </cfRule>
  </conditionalFormatting>
  <conditionalFormatting sqref="K43">
    <cfRule type="expression" dxfId="12" priority="3">
      <formula>WEEKDAY($A43,2)&gt;5</formula>
    </cfRule>
  </conditionalFormatting>
  <conditionalFormatting sqref="K43">
    <cfRule type="expression" dxfId="11" priority="2">
      <formula>$M43="frei"</formula>
    </cfRule>
  </conditionalFormatting>
  <conditionalFormatting sqref="I46">
    <cfRule type="expression" dxfId="10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'Static Data'!$B$29:$B$30</xm:f>
          </x14:formula1>
          <xm:sqref>B36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7" workbookViewId="0">
      <selection activeCell="D28" sqref="D28"/>
    </sheetView>
  </sheetViews>
  <sheetFormatPr baseColWidth="10" defaultRowHeight="12.75" x14ac:dyDescent="0.2"/>
  <cols>
    <col min="1" max="1" width="18" customWidth="1"/>
    <col min="2" max="2" width="17.85546875" customWidth="1"/>
    <col min="3" max="3" width="6.28515625" customWidth="1"/>
    <col min="4" max="4" width="34.42578125" customWidth="1"/>
    <col min="10" max="10" width="16" customWidth="1"/>
    <col min="13" max="13" width="14" customWidth="1"/>
  </cols>
  <sheetData>
    <row r="1" spans="1:15" ht="39.75" customHeight="1" x14ac:dyDescent="0.2">
      <c r="A1" s="417" t="s">
        <v>80</v>
      </c>
      <c r="B1" s="417"/>
      <c r="C1" s="62">
        <v>2024</v>
      </c>
      <c r="D1" s="63"/>
      <c r="J1" s="380" t="s">
        <v>138</v>
      </c>
      <c r="K1" s="380"/>
      <c r="L1" s="380"/>
      <c r="M1" s="380"/>
      <c r="N1" s="380"/>
    </row>
    <row r="2" spans="1:15" ht="25.5" x14ac:dyDescent="0.2">
      <c r="A2" s="40" t="s">
        <v>68</v>
      </c>
      <c r="B2" s="41" t="s">
        <v>4</v>
      </c>
      <c r="C2" s="41" t="s">
        <v>69</v>
      </c>
      <c r="D2" s="42" t="s">
        <v>70</v>
      </c>
    </row>
    <row r="3" spans="1:15" ht="18.75" customHeight="1" x14ac:dyDescent="0.2">
      <c r="A3" s="43" t="s">
        <v>28</v>
      </c>
      <c r="B3" s="44">
        <f>DATE(C1,1,1)</f>
        <v>45292</v>
      </c>
      <c r="C3" s="45">
        <v>1</v>
      </c>
      <c r="D3" s="46"/>
      <c r="F3" t="s">
        <v>135</v>
      </c>
      <c r="J3" s="130">
        <v>44197</v>
      </c>
    </row>
    <row r="4" spans="1:15" ht="18.75" customHeight="1" x14ac:dyDescent="0.2">
      <c r="A4" s="43" t="s">
        <v>71</v>
      </c>
      <c r="B4" s="44">
        <f>DATE(C1,1,6)</f>
        <v>45297</v>
      </c>
      <c r="C4" s="45">
        <v>1</v>
      </c>
      <c r="D4" s="54"/>
      <c r="F4" t="s">
        <v>136</v>
      </c>
      <c r="J4" s="1">
        <f t="shared" ref="J4:J33" si="0">IF(J3="","",IF(MONTH(J3+1)=MONTH($J$3),J3+1,""))</f>
        <v>44198</v>
      </c>
    </row>
    <row r="5" spans="1:15" ht="18.75" customHeight="1" x14ac:dyDescent="0.2">
      <c r="A5" s="55" t="s">
        <v>144</v>
      </c>
      <c r="B5" s="56">
        <f>B10-47</f>
        <v>45335</v>
      </c>
      <c r="C5" s="57">
        <v>2</v>
      </c>
      <c r="D5" s="58" t="s">
        <v>212</v>
      </c>
      <c r="F5" t="s">
        <v>137</v>
      </c>
      <c r="J5" s="1">
        <f t="shared" si="0"/>
        <v>44199</v>
      </c>
      <c r="M5" s="240" t="s">
        <v>149</v>
      </c>
    </row>
    <row r="6" spans="1:15" ht="18.75" customHeight="1" x14ac:dyDescent="0.2">
      <c r="A6" s="43" t="s">
        <v>72</v>
      </c>
      <c r="B6" s="44">
        <f>DATE(C1,3,19)</f>
        <v>45370</v>
      </c>
      <c r="C6" s="45">
        <v>1</v>
      </c>
      <c r="D6" s="58" t="s">
        <v>212</v>
      </c>
      <c r="J6" s="1">
        <f t="shared" si="0"/>
        <v>44200</v>
      </c>
      <c r="M6" s="241" t="s">
        <v>150</v>
      </c>
    </row>
    <row r="7" spans="1:15" ht="18.75" customHeight="1" x14ac:dyDescent="0.2">
      <c r="A7" s="55" t="s">
        <v>26</v>
      </c>
      <c r="B7" s="56">
        <f>B10-3</f>
        <v>45379</v>
      </c>
      <c r="C7" s="57">
        <v>2</v>
      </c>
      <c r="D7" s="58" t="s">
        <v>212</v>
      </c>
      <c r="J7" s="1">
        <f t="shared" si="0"/>
        <v>44201</v>
      </c>
      <c r="M7" s="132" t="s">
        <v>151</v>
      </c>
      <c r="N7" t="s">
        <v>152</v>
      </c>
      <c r="O7" t="s">
        <v>152</v>
      </c>
    </row>
    <row r="8" spans="1:15" ht="18.75" customHeight="1" x14ac:dyDescent="0.2">
      <c r="A8" s="43" t="s">
        <v>25</v>
      </c>
      <c r="B8" s="56">
        <f>B10-2</f>
        <v>45380</v>
      </c>
      <c r="C8" s="57">
        <v>2</v>
      </c>
      <c r="D8" s="58" t="s">
        <v>212</v>
      </c>
      <c r="F8" s="242" t="s">
        <v>172</v>
      </c>
      <c r="G8" s="242"/>
      <c r="H8" s="242"/>
      <c r="J8" s="1">
        <f t="shared" si="0"/>
        <v>44202</v>
      </c>
      <c r="M8" t="s">
        <v>153</v>
      </c>
      <c r="N8" t="s">
        <v>154</v>
      </c>
      <c r="O8" t="s">
        <v>154</v>
      </c>
    </row>
    <row r="9" spans="1:15" ht="18.75" customHeight="1" x14ac:dyDescent="0.2">
      <c r="A9" s="43" t="s">
        <v>37</v>
      </c>
      <c r="B9" s="56">
        <f>B10-1</f>
        <v>45381</v>
      </c>
      <c r="C9" s="57">
        <v>2</v>
      </c>
      <c r="D9" s="54"/>
      <c r="F9" t="s">
        <v>174</v>
      </c>
      <c r="J9" s="1">
        <f t="shared" si="0"/>
        <v>44203</v>
      </c>
      <c r="M9" t="s">
        <v>155</v>
      </c>
      <c r="N9" t="s">
        <v>156</v>
      </c>
      <c r="O9" t="s">
        <v>156</v>
      </c>
    </row>
    <row r="10" spans="1:15" ht="18.75" customHeight="1" x14ac:dyDescent="0.2">
      <c r="A10" s="59" t="s">
        <v>36</v>
      </c>
      <c r="B10" s="60">
        <f>DOLLAR((DAY(MINUTE($C$1/38)/2+55)&amp;".4."&amp;$C$1)/7,)*7-6</f>
        <v>45382</v>
      </c>
      <c r="C10" s="61">
        <v>2</v>
      </c>
      <c r="D10" s="54"/>
      <c r="F10" t="s">
        <v>23</v>
      </c>
      <c r="J10" s="1">
        <f t="shared" si="0"/>
        <v>44204</v>
      </c>
      <c r="M10" t="s">
        <v>157</v>
      </c>
      <c r="N10" t="s">
        <v>158</v>
      </c>
      <c r="O10" t="s">
        <v>158</v>
      </c>
    </row>
    <row r="11" spans="1:15" ht="18.75" customHeight="1" x14ac:dyDescent="0.2">
      <c r="A11" s="43" t="s">
        <v>27</v>
      </c>
      <c r="B11" s="56">
        <f>B10+1</f>
        <v>45383</v>
      </c>
      <c r="C11" s="57">
        <v>2</v>
      </c>
      <c r="D11" s="54"/>
      <c r="F11" t="s">
        <v>173</v>
      </c>
      <c r="J11" s="1">
        <f t="shared" si="0"/>
        <v>44205</v>
      </c>
      <c r="M11" t="s">
        <v>159</v>
      </c>
      <c r="N11" t="s">
        <v>160</v>
      </c>
      <c r="O11" t="s">
        <v>160</v>
      </c>
    </row>
    <row r="12" spans="1:15" ht="18.75" customHeight="1" x14ac:dyDescent="0.2">
      <c r="A12" s="43" t="s">
        <v>73</v>
      </c>
      <c r="B12" s="44">
        <f>DATE(C1,5,1)</f>
        <v>45413</v>
      </c>
      <c r="C12" s="45">
        <v>1</v>
      </c>
      <c r="D12" s="54"/>
      <c r="F12" t="s">
        <v>24</v>
      </c>
      <c r="J12" s="1">
        <f t="shared" si="0"/>
        <v>44206</v>
      </c>
      <c r="M12" t="s">
        <v>161</v>
      </c>
      <c r="N12" t="s">
        <v>162</v>
      </c>
      <c r="O12" t="s">
        <v>162</v>
      </c>
    </row>
    <row r="13" spans="1:15" ht="18.75" customHeight="1" x14ac:dyDescent="0.2">
      <c r="A13" s="43" t="s">
        <v>23</v>
      </c>
      <c r="B13" s="56">
        <f>B10+39</f>
        <v>45421</v>
      </c>
      <c r="C13" s="57">
        <v>2</v>
      </c>
      <c r="D13" s="54"/>
      <c r="J13" s="1">
        <f t="shared" si="0"/>
        <v>44207</v>
      </c>
      <c r="M13" t="s">
        <v>163</v>
      </c>
      <c r="N13" t="s">
        <v>164</v>
      </c>
      <c r="O13" t="s">
        <v>164</v>
      </c>
    </row>
    <row r="14" spans="1:15" ht="18.75" customHeight="1" x14ac:dyDescent="0.2">
      <c r="A14" s="43" t="s">
        <v>53</v>
      </c>
      <c r="B14" s="56">
        <f>B10+49</f>
        <v>45431</v>
      </c>
      <c r="C14" s="57">
        <v>2</v>
      </c>
      <c r="D14" s="54"/>
      <c r="J14" s="1">
        <f t="shared" si="0"/>
        <v>44208</v>
      </c>
      <c r="M14" t="s">
        <v>165</v>
      </c>
    </row>
    <row r="15" spans="1:15" ht="18.75" customHeight="1" x14ac:dyDescent="0.2">
      <c r="A15" s="43" t="s">
        <v>74</v>
      </c>
      <c r="B15" s="56">
        <f>B10+50</f>
        <v>45432</v>
      </c>
      <c r="C15" s="57">
        <v>2</v>
      </c>
      <c r="D15" s="54"/>
      <c r="J15" s="1">
        <f t="shared" si="0"/>
        <v>44209</v>
      </c>
      <c r="M15">
        <v>2012</v>
      </c>
      <c r="N15" t="s">
        <v>152</v>
      </c>
      <c r="O15" t="s">
        <v>154</v>
      </c>
    </row>
    <row r="16" spans="1:15" ht="18.75" customHeight="1" x14ac:dyDescent="0.2">
      <c r="A16" s="47" t="s">
        <v>50</v>
      </c>
      <c r="B16" s="56">
        <f>B10+51</f>
        <v>45433</v>
      </c>
      <c r="C16" s="57">
        <v>2</v>
      </c>
      <c r="D16" s="58" t="s">
        <v>212</v>
      </c>
      <c r="J16" s="1">
        <f t="shared" si="0"/>
        <v>44210</v>
      </c>
      <c r="M16">
        <v>2024</v>
      </c>
      <c r="N16" t="s">
        <v>154</v>
      </c>
      <c r="O16" t="s">
        <v>156</v>
      </c>
    </row>
    <row r="17" spans="1:15" ht="18.75" customHeight="1" x14ac:dyDescent="0.2">
      <c r="A17" s="43" t="s">
        <v>24</v>
      </c>
      <c r="B17" s="56">
        <f>B10+60</f>
        <v>45442</v>
      </c>
      <c r="C17" s="57">
        <v>2</v>
      </c>
      <c r="D17" s="54"/>
      <c r="J17" s="1">
        <f t="shared" si="0"/>
        <v>44211</v>
      </c>
      <c r="M17">
        <v>2036</v>
      </c>
      <c r="N17" t="s">
        <v>156</v>
      </c>
      <c r="O17" t="s">
        <v>158</v>
      </c>
    </row>
    <row r="18" spans="1:15" ht="18.75" customHeight="1" x14ac:dyDescent="0.2">
      <c r="A18" s="43" t="s">
        <v>75</v>
      </c>
      <c r="B18" s="44">
        <f>DATE(C1,8,15)</f>
        <v>45519</v>
      </c>
      <c r="C18" s="45">
        <v>1</v>
      </c>
      <c r="D18" s="54"/>
      <c r="J18" s="1">
        <f t="shared" si="0"/>
        <v>44212</v>
      </c>
      <c r="M18">
        <v>2020</v>
      </c>
      <c r="N18" t="s">
        <v>158</v>
      </c>
      <c r="O18" t="s">
        <v>160</v>
      </c>
    </row>
    <row r="19" spans="1:15" ht="18.75" customHeight="1" x14ac:dyDescent="0.2">
      <c r="A19" s="43" t="s">
        <v>76</v>
      </c>
      <c r="B19" s="44">
        <f>DATE(C1,9,24)</f>
        <v>45559</v>
      </c>
      <c r="C19" s="45">
        <v>1</v>
      </c>
      <c r="D19" s="58" t="s">
        <v>212</v>
      </c>
      <c r="J19" s="1">
        <f t="shared" si="0"/>
        <v>44213</v>
      </c>
      <c r="M19">
        <v>2032</v>
      </c>
      <c r="N19" t="s">
        <v>160</v>
      </c>
      <c r="O19" t="s">
        <v>162</v>
      </c>
    </row>
    <row r="20" spans="1:15" ht="18.75" customHeight="1" x14ac:dyDescent="0.2">
      <c r="A20" s="43" t="s">
        <v>38</v>
      </c>
      <c r="B20" s="44">
        <f>DATE(C1,10,26)</f>
        <v>45591</v>
      </c>
      <c r="C20" s="45">
        <v>1</v>
      </c>
      <c r="D20" s="54"/>
      <c r="J20" s="1">
        <f t="shared" si="0"/>
        <v>44214</v>
      </c>
      <c r="M20">
        <v>2016</v>
      </c>
      <c r="N20" t="s">
        <v>162</v>
      </c>
      <c r="O20" t="s">
        <v>164</v>
      </c>
    </row>
    <row r="21" spans="1:15" ht="18.75" customHeight="1" x14ac:dyDescent="0.2">
      <c r="A21" s="43" t="s">
        <v>31</v>
      </c>
      <c r="B21" s="44">
        <f>DATE(C1,11,1)</f>
        <v>45597</v>
      </c>
      <c r="C21" s="45">
        <v>1</v>
      </c>
      <c r="D21" s="54"/>
      <c r="J21" s="1">
        <f t="shared" si="0"/>
        <v>44215</v>
      </c>
      <c r="M21">
        <v>2028</v>
      </c>
      <c r="N21" t="s">
        <v>164</v>
      </c>
      <c r="O21" t="s">
        <v>152</v>
      </c>
    </row>
    <row r="22" spans="1:15" ht="18.75" customHeight="1" x14ac:dyDescent="0.2">
      <c r="A22" s="43" t="s">
        <v>32</v>
      </c>
      <c r="B22" s="44">
        <f>DATE(C1,11,2)</f>
        <v>45598</v>
      </c>
      <c r="C22" s="45">
        <v>1</v>
      </c>
      <c r="D22" s="58" t="s">
        <v>212</v>
      </c>
      <c r="J22" s="1">
        <f t="shared" si="0"/>
        <v>44216</v>
      </c>
    </row>
    <row r="23" spans="1:15" ht="18.75" customHeight="1" x14ac:dyDescent="0.2">
      <c r="A23" s="52" t="s">
        <v>81</v>
      </c>
      <c r="B23" s="64">
        <f>DATE(C1,12,25)-WEEKDAY(DATE(C1,12,25),2)-21</f>
        <v>45627</v>
      </c>
      <c r="C23" s="53">
        <v>3</v>
      </c>
      <c r="D23" s="58"/>
      <c r="J23" s="1">
        <f t="shared" si="0"/>
        <v>44217</v>
      </c>
    </row>
    <row r="24" spans="1:15" ht="18.75" customHeight="1" x14ac:dyDescent="0.2">
      <c r="A24" s="43" t="s">
        <v>77</v>
      </c>
      <c r="B24" s="44">
        <f>DATE(C1,12,8)</f>
        <v>45634</v>
      </c>
      <c r="C24" s="45">
        <v>1</v>
      </c>
      <c r="D24" s="54"/>
      <c r="J24" s="1">
        <f t="shared" si="0"/>
        <v>44218</v>
      </c>
    </row>
    <row r="25" spans="1:15" ht="18.75" customHeight="1" x14ac:dyDescent="0.2">
      <c r="A25" s="43" t="s">
        <v>78</v>
      </c>
      <c r="B25" s="44">
        <f>DATE(C1,12,24)</f>
        <v>45650</v>
      </c>
      <c r="C25" s="45">
        <v>1</v>
      </c>
      <c r="D25" s="58" t="s">
        <v>212</v>
      </c>
      <c r="J25" s="1">
        <f t="shared" si="0"/>
        <v>44219</v>
      </c>
    </row>
    <row r="26" spans="1:15" ht="18.75" customHeight="1" x14ac:dyDescent="0.2">
      <c r="A26" s="43" t="s">
        <v>51</v>
      </c>
      <c r="B26" s="44">
        <f>DATE(C1,12,25)</f>
        <v>45651</v>
      </c>
      <c r="C26" s="45">
        <v>1</v>
      </c>
      <c r="D26" s="54"/>
      <c r="J26" s="1">
        <f t="shared" si="0"/>
        <v>44220</v>
      </c>
    </row>
    <row r="27" spans="1:15" ht="18.75" customHeight="1" x14ac:dyDescent="0.2">
      <c r="A27" s="43" t="s">
        <v>79</v>
      </c>
      <c r="B27" s="44">
        <f>DATE(C1,12,26)</f>
        <v>45652</v>
      </c>
      <c r="C27" s="45">
        <v>1</v>
      </c>
      <c r="D27" s="54"/>
      <c r="J27" s="1">
        <f t="shared" si="0"/>
        <v>44221</v>
      </c>
    </row>
    <row r="28" spans="1:15" ht="18.75" customHeight="1" x14ac:dyDescent="0.2">
      <c r="A28" s="43" t="s">
        <v>34</v>
      </c>
      <c r="B28" s="44">
        <f>DATE(C1,12,31)</f>
        <v>45657</v>
      </c>
      <c r="C28" s="45">
        <v>1</v>
      </c>
      <c r="D28" s="58" t="s">
        <v>212</v>
      </c>
      <c r="J28" s="1">
        <f t="shared" si="0"/>
        <v>44222</v>
      </c>
    </row>
    <row r="29" spans="1:15" ht="18.75" customHeight="1" x14ac:dyDescent="0.2">
      <c r="A29" s="48"/>
      <c r="B29" s="49"/>
      <c r="C29" s="50"/>
      <c r="D29" s="51"/>
      <c r="J29" s="1">
        <f t="shared" si="0"/>
        <v>44223</v>
      </c>
    </row>
    <row r="30" spans="1:15" ht="18" customHeight="1" x14ac:dyDescent="0.2">
      <c r="J30" s="1">
        <f t="shared" si="0"/>
        <v>44224</v>
      </c>
    </row>
    <row r="31" spans="1:15" ht="18" customHeight="1" x14ac:dyDescent="0.2">
      <c r="J31" s="1">
        <f t="shared" si="0"/>
        <v>44225</v>
      </c>
    </row>
    <row r="32" spans="1:15" ht="17.25" customHeight="1" x14ac:dyDescent="0.2">
      <c r="J32" s="1">
        <f t="shared" si="0"/>
        <v>44226</v>
      </c>
    </row>
    <row r="33" spans="10:10" ht="21" customHeight="1" x14ac:dyDescent="0.2">
      <c r="J33" s="1">
        <f t="shared" si="0"/>
        <v>44227</v>
      </c>
    </row>
  </sheetData>
  <sheetProtection password="DB57" sheet="1" objects="1" scenarios="1"/>
  <mergeCells count="2">
    <mergeCell ref="A1:B1"/>
    <mergeCell ref="J1:N1"/>
  </mergeCells>
  <conditionalFormatting sqref="J3:J33">
    <cfRule type="expression" dxfId="9" priority="4">
      <formula>WEEKDAY($J3,2)&gt;5</formula>
    </cfRule>
  </conditionalFormatting>
  <conditionalFormatting sqref="J14:J15">
    <cfRule type="expression" dxfId="8" priority="3">
      <formula>WEEKDAY($A14,2)&gt;5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workbookViewId="0"/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6" width="9" style="78" customWidth="1"/>
    <col min="7" max="8" width="6.5703125" style="78" customWidth="1"/>
    <col min="9" max="9" width="9.140625" style="78" customWidth="1"/>
    <col min="10" max="10" width="5.140625" style="78" customWidth="1"/>
    <col min="11" max="11" width="17" style="78" customWidth="1"/>
    <col min="12" max="12" width="8.5703125" style="78" customWidth="1"/>
    <col min="13" max="13" width="11.42578125" style="78" customWidth="1"/>
    <col min="14" max="14" width="9.85546875" style="78" customWidth="1"/>
    <col min="15" max="15" width="10.7109375" style="78" bestFit="1" customWidth="1"/>
    <col min="16" max="16" width="9.28515625" style="78" bestFit="1" customWidth="1"/>
    <col min="17" max="17" width="9.140625" style="78" customWidth="1"/>
    <col min="18" max="19" width="11.42578125" style="78" customWidth="1"/>
    <col min="20" max="16384" width="11.42578125" style="78" hidden="1"/>
  </cols>
  <sheetData>
    <row r="1" spans="1:18" ht="42.75" customHeight="1" thickBot="1" x14ac:dyDescent="0.25">
      <c r="C1" s="209" t="s">
        <v>112</v>
      </c>
    </row>
    <row r="2" spans="1:18" ht="31.5" customHeight="1" thickTop="1" thickBot="1" x14ac:dyDescent="0.25">
      <c r="A2" s="400" t="s">
        <v>46</v>
      </c>
      <c r="B2" s="401"/>
      <c r="C2" s="401"/>
      <c r="D2" s="401"/>
      <c r="E2" s="401"/>
      <c r="F2" s="420"/>
      <c r="G2" s="421" t="s">
        <v>15</v>
      </c>
      <c r="H2" s="397"/>
      <c r="I2" s="397"/>
      <c r="J2" s="397"/>
      <c r="K2" s="397"/>
      <c r="L2" s="422"/>
    </row>
    <row r="3" spans="1:18" ht="23.25" customHeight="1" thickTop="1" thickBot="1" x14ac:dyDescent="0.25">
      <c r="A3" s="6" t="s">
        <v>0</v>
      </c>
      <c r="B3" s="210"/>
      <c r="C3" s="210"/>
      <c r="D3" s="423" t="str">
        <f>Start!B11</f>
        <v>NN</v>
      </c>
      <c r="E3" s="423"/>
      <c r="F3" s="423"/>
      <c r="G3" s="423"/>
      <c r="H3" s="423"/>
      <c r="I3" s="423"/>
      <c r="J3" s="424"/>
      <c r="K3" s="211" t="s">
        <v>17</v>
      </c>
      <c r="L3" s="88">
        <f>Start!B32</f>
        <v>38718</v>
      </c>
    </row>
    <row r="4" spans="1:18" ht="19.5" customHeight="1" thickTop="1" thickBot="1" x14ac:dyDescent="0.25">
      <c r="A4" s="7"/>
      <c r="B4" s="182"/>
      <c r="C4" s="182"/>
      <c r="D4" s="425">
        <f>Jän!A10</f>
        <v>45292</v>
      </c>
      <c r="E4" s="425"/>
      <c r="F4" s="425"/>
      <c r="G4" s="425"/>
      <c r="H4" s="425"/>
      <c r="I4" s="425"/>
      <c r="J4" s="426"/>
      <c r="K4" s="212" t="s">
        <v>54</v>
      </c>
      <c r="L4" s="89">
        <f>Start!B33</f>
        <v>25</v>
      </c>
    </row>
    <row r="5" spans="1:18" ht="24.75" x14ac:dyDescent="0.2">
      <c r="A5" s="184"/>
      <c r="B5" s="185"/>
      <c r="C5" s="186"/>
      <c r="D5" s="187" t="s">
        <v>113</v>
      </c>
      <c r="E5" s="187" t="s">
        <v>44</v>
      </c>
      <c r="F5" s="187" t="s">
        <v>43</v>
      </c>
      <c r="G5" s="188" t="s">
        <v>42</v>
      </c>
      <c r="H5" s="188" t="s">
        <v>40</v>
      </c>
      <c r="I5" s="187" t="s">
        <v>41</v>
      </c>
      <c r="J5" s="213"/>
      <c r="K5" s="214"/>
      <c r="L5" s="90"/>
    </row>
    <row r="6" spans="1:18" x14ac:dyDescent="0.2">
      <c r="A6" s="91" t="str">
        <f>Start!A26</f>
        <v>DBO</v>
      </c>
      <c r="B6" s="427" t="str">
        <f>Start!B26</f>
        <v>DBO 1993</v>
      </c>
      <c r="C6" s="427"/>
      <c r="D6" s="102">
        <f ca="1">SUM(Jän:Dez!D5)</f>
        <v>252</v>
      </c>
      <c r="E6" s="74">
        <f>Start!B29</f>
        <v>0.33333333333333331</v>
      </c>
      <c r="F6" s="74">
        <f ca="1">+D6*E6</f>
        <v>84</v>
      </c>
      <c r="G6" s="74">
        <f>SUM(Jän:Dez!G5)</f>
        <v>0</v>
      </c>
      <c r="H6" s="74">
        <f>SUM(Jän:Dez!H5)</f>
        <v>0</v>
      </c>
      <c r="I6" s="74">
        <f ca="1">+F6-G6-H6</f>
        <v>84</v>
      </c>
      <c r="J6" s="215"/>
      <c r="K6" s="216"/>
      <c r="L6" s="92"/>
    </row>
    <row r="7" spans="1:18" ht="12.75" customHeight="1" x14ac:dyDescent="0.2">
      <c r="A7" s="7" t="s">
        <v>2</v>
      </c>
      <c r="B7" s="182"/>
      <c r="C7" s="182"/>
      <c r="D7" s="418" t="str">
        <f>Start!B12</f>
        <v>NN</v>
      </c>
      <c r="E7" s="419"/>
      <c r="F7" s="419"/>
      <c r="G7" s="419"/>
      <c r="H7" s="419"/>
      <c r="I7" s="419"/>
      <c r="J7" s="419"/>
      <c r="K7" s="216" t="s">
        <v>117</v>
      </c>
      <c r="L7" s="101">
        <f>SUM(Jän:Dez!L6)</f>
        <v>0</v>
      </c>
    </row>
    <row r="8" spans="1:18" ht="13.5" customHeight="1" thickBot="1" x14ac:dyDescent="0.25">
      <c r="A8" s="8" t="s">
        <v>3</v>
      </c>
      <c r="B8" s="194"/>
      <c r="C8" s="194"/>
      <c r="D8" s="428" t="str">
        <f>Start!B13</f>
        <v>123456</v>
      </c>
      <c r="E8" s="428"/>
      <c r="F8" s="428"/>
      <c r="G8" s="428"/>
      <c r="H8" s="428"/>
      <c r="I8" s="428"/>
      <c r="J8" s="428"/>
      <c r="K8" s="217"/>
      <c r="L8" s="94"/>
      <c r="N8" s="66"/>
      <c r="O8" s="79"/>
      <c r="P8" s="79"/>
      <c r="Q8" s="79"/>
      <c r="R8" s="79"/>
    </row>
    <row r="9" spans="1:18" ht="13.5" thickBot="1" x14ac:dyDescent="0.25">
      <c r="A9" s="429"/>
      <c r="B9" s="430"/>
      <c r="C9" s="430"/>
      <c r="D9" s="430"/>
      <c r="E9" s="430"/>
      <c r="F9" s="430"/>
      <c r="G9" s="430"/>
      <c r="H9" s="430"/>
      <c r="I9" s="430"/>
      <c r="J9" s="430"/>
      <c r="K9" s="431"/>
      <c r="L9" s="218"/>
      <c r="M9" s="79"/>
      <c r="N9" s="79"/>
      <c r="O9" s="79"/>
      <c r="P9" s="79"/>
      <c r="Q9" s="79"/>
      <c r="R9" s="24"/>
    </row>
    <row r="10" spans="1:18" ht="45" thickBot="1" x14ac:dyDescent="0.25">
      <c r="A10" s="219" t="s">
        <v>4</v>
      </c>
      <c r="B10" s="10" t="s">
        <v>5</v>
      </c>
      <c r="C10" s="10" t="s">
        <v>6</v>
      </c>
      <c r="D10" s="10" t="s">
        <v>5</v>
      </c>
      <c r="E10" s="10" t="s">
        <v>6</v>
      </c>
      <c r="F10" s="10" t="s">
        <v>5</v>
      </c>
      <c r="G10" s="10" t="s">
        <v>6</v>
      </c>
      <c r="H10" s="11" t="s">
        <v>11</v>
      </c>
      <c r="I10" s="12" t="s">
        <v>7</v>
      </c>
      <c r="J10" s="13" t="s">
        <v>12</v>
      </c>
      <c r="K10" s="14" t="s">
        <v>13</v>
      </c>
      <c r="L10" s="220" t="s">
        <v>14</v>
      </c>
      <c r="M10" s="79"/>
      <c r="N10" s="24"/>
      <c r="O10" s="24"/>
      <c r="P10" s="33"/>
      <c r="Q10" s="33"/>
      <c r="R10" s="221"/>
    </row>
    <row r="11" spans="1:18" ht="13.5" thickTop="1" x14ac:dyDescent="0.2">
      <c r="A11" s="96"/>
      <c r="B11" s="222"/>
      <c r="C11" s="222"/>
      <c r="D11" s="222"/>
      <c r="E11" s="222"/>
      <c r="F11" s="222"/>
      <c r="G11" s="222"/>
      <c r="H11" s="223"/>
      <c r="I11" s="71"/>
      <c r="J11" s="223"/>
      <c r="K11" s="224"/>
      <c r="L11" s="95"/>
      <c r="M11" s="79"/>
      <c r="N11" s="33"/>
      <c r="O11" s="33"/>
      <c r="P11" s="65"/>
      <c r="Q11" s="33"/>
      <c r="R11" s="225"/>
    </row>
    <row r="12" spans="1:18" x14ac:dyDescent="0.2">
      <c r="A12" s="96"/>
      <c r="B12" s="222"/>
      <c r="C12" s="223"/>
      <c r="D12" s="223"/>
      <c r="E12" s="223"/>
      <c r="F12" s="222"/>
      <c r="G12" s="223"/>
      <c r="H12" s="223"/>
      <c r="I12" s="71"/>
      <c r="J12" s="223"/>
      <c r="K12" s="224"/>
      <c r="L12" s="95"/>
      <c r="M12" s="79"/>
      <c r="N12" s="33"/>
      <c r="O12" s="33"/>
      <c r="P12" s="65"/>
      <c r="Q12" s="33"/>
      <c r="R12" s="24"/>
    </row>
    <row r="13" spans="1:18" x14ac:dyDescent="0.2">
      <c r="A13" s="96"/>
      <c r="B13" s="222"/>
      <c r="C13" s="226"/>
      <c r="D13" s="226"/>
      <c r="E13" s="226"/>
      <c r="F13" s="222"/>
      <c r="G13" s="226"/>
      <c r="H13" s="223"/>
      <c r="I13" s="71"/>
      <c r="J13" s="223"/>
      <c r="K13" s="224"/>
      <c r="L13" s="95"/>
      <c r="M13" s="79"/>
      <c r="N13" s="33"/>
      <c r="O13" s="33"/>
      <c r="P13" s="65"/>
      <c r="Q13" s="33"/>
      <c r="R13" s="33"/>
    </row>
    <row r="14" spans="1:18" ht="13.5" thickBot="1" x14ac:dyDescent="0.25">
      <c r="A14" s="97"/>
      <c r="B14" s="227"/>
      <c r="C14" s="228"/>
      <c r="D14" s="228"/>
      <c r="E14" s="228"/>
      <c r="F14" s="227"/>
      <c r="G14" s="228"/>
      <c r="H14" s="228"/>
      <c r="I14" s="73"/>
      <c r="J14" s="228"/>
      <c r="K14" s="229"/>
      <c r="L14" s="98"/>
      <c r="M14" s="79"/>
      <c r="N14" s="33"/>
      <c r="O14" s="33"/>
      <c r="P14" s="65"/>
      <c r="Q14" s="33"/>
      <c r="R14" s="24"/>
    </row>
    <row r="15" spans="1:18" ht="21.75" customHeight="1" thickTop="1" thickBot="1" x14ac:dyDescent="0.25">
      <c r="A15" s="406" t="s">
        <v>109</v>
      </c>
      <c r="B15" s="407"/>
      <c r="C15" s="407"/>
      <c r="D15" s="407"/>
      <c r="E15" s="407"/>
      <c r="F15" s="407"/>
      <c r="G15" s="407"/>
      <c r="H15" s="432"/>
      <c r="I15" s="85">
        <f>SUM(Jän:Dez!I42)</f>
        <v>0</v>
      </c>
      <c r="J15" s="230"/>
      <c r="K15" s="231"/>
      <c r="L15" s="99"/>
      <c r="M15" s="79"/>
      <c r="N15" s="33"/>
      <c r="O15" s="33"/>
      <c r="P15" s="65"/>
      <c r="Q15" s="24"/>
      <c r="R15" s="24"/>
    </row>
    <row r="16" spans="1:18" ht="14.25" customHeight="1" thickTop="1" thickBot="1" x14ac:dyDescent="0.25">
      <c r="A16" s="433" t="s">
        <v>110</v>
      </c>
      <c r="B16" s="434"/>
      <c r="C16" s="434"/>
      <c r="D16" s="434"/>
      <c r="E16" s="434"/>
      <c r="F16" s="434"/>
      <c r="G16" s="434"/>
      <c r="H16" s="434"/>
      <c r="I16" s="70">
        <f>Start!B40</f>
        <v>0</v>
      </c>
      <c r="J16" s="232"/>
      <c r="K16" s="233"/>
      <c r="L16" s="234"/>
      <c r="M16" s="79"/>
      <c r="N16" s="402"/>
      <c r="O16" s="402"/>
      <c r="P16" s="402"/>
      <c r="Q16" s="402"/>
      <c r="R16" s="402"/>
    </row>
    <row r="17" spans="1:18" ht="14.25" thickTop="1" thickBot="1" x14ac:dyDescent="0.25">
      <c r="A17" s="435" t="s">
        <v>111</v>
      </c>
      <c r="B17" s="436"/>
      <c r="C17" s="436"/>
      <c r="D17" s="436"/>
      <c r="E17" s="436"/>
      <c r="F17" s="436"/>
      <c r="G17" s="436"/>
      <c r="H17" s="436"/>
      <c r="I17" s="70">
        <f>(IF(OR(I15&gt;0,G6&gt;0,H6&gt;0),I6*24,0))</f>
        <v>0</v>
      </c>
      <c r="J17" s="232"/>
      <c r="K17" s="233"/>
      <c r="L17" s="234"/>
      <c r="M17" s="79"/>
      <c r="N17" s="402"/>
      <c r="O17" s="402"/>
      <c r="P17" s="402"/>
      <c r="Q17" s="402"/>
      <c r="R17" s="402"/>
    </row>
    <row r="18" spans="1:18" ht="28.5" customHeight="1" thickTop="1" thickBot="1" x14ac:dyDescent="0.25">
      <c r="A18" s="437" t="s">
        <v>16</v>
      </c>
      <c r="B18" s="438"/>
      <c r="C18" s="438"/>
      <c r="D18" s="438"/>
      <c r="E18" s="438"/>
      <c r="F18" s="438"/>
      <c r="G18" s="438"/>
      <c r="H18" s="439"/>
      <c r="I18" s="70">
        <f>+I15+I16-I17</f>
        <v>0</v>
      </c>
      <c r="J18" s="235"/>
      <c r="K18" s="236" t="s">
        <v>45</v>
      </c>
      <c r="L18" s="100">
        <f>+I18</f>
        <v>0</v>
      </c>
      <c r="M18" s="79"/>
      <c r="N18" s="402"/>
      <c r="O18" s="402"/>
      <c r="P18" s="402"/>
      <c r="Q18" s="402"/>
      <c r="R18" s="402"/>
    </row>
    <row r="19" spans="1:18" ht="21.75" customHeight="1" thickTop="1" x14ac:dyDescent="0.2">
      <c r="A19" s="203"/>
      <c r="B19" s="203"/>
      <c r="C19" s="203"/>
      <c r="D19" s="203"/>
      <c r="E19" s="203"/>
      <c r="F19" s="203"/>
      <c r="G19" s="204"/>
      <c r="H19" s="204"/>
      <c r="I19" s="204"/>
      <c r="J19" s="205"/>
      <c r="K19" s="205"/>
    </row>
    <row r="20" spans="1:18" x14ac:dyDescent="0.2">
      <c r="A20" s="206"/>
      <c r="B20" s="203"/>
      <c r="C20" s="203"/>
      <c r="D20" s="203"/>
      <c r="E20" s="203"/>
      <c r="F20" s="203"/>
      <c r="H20" s="206"/>
      <c r="I20" s="205"/>
    </row>
    <row r="21" spans="1:18" x14ac:dyDescent="0.2">
      <c r="A21" s="206"/>
      <c r="B21" s="206"/>
      <c r="C21" s="206"/>
      <c r="D21" s="206"/>
      <c r="E21" s="206"/>
      <c r="F21" s="206"/>
      <c r="G21" s="204"/>
      <c r="H21" s="204"/>
      <c r="I21" s="204"/>
      <c r="J21" s="205"/>
      <c r="K21" s="205"/>
    </row>
    <row r="22" spans="1:18" ht="18" customHeight="1" x14ac:dyDescent="0.2">
      <c r="A22" s="206"/>
      <c r="B22" s="207"/>
      <c r="C22" s="207"/>
      <c r="D22" s="207"/>
      <c r="E22" s="207"/>
      <c r="F22" s="207"/>
      <c r="G22" s="204"/>
      <c r="H22" s="204"/>
      <c r="I22" s="204"/>
      <c r="J22" s="205"/>
      <c r="K22" s="205"/>
    </row>
    <row r="23" spans="1:18" x14ac:dyDescent="0.2"/>
    <row r="24" spans="1:18" x14ac:dyDescent="0.2"/>
    <row r="25" spans="1:18" x14ac:dyDescent="0.2"/>
    <row r="26" spans="1:18" x14ac:dyDescent="0.2"/>
    <row r="27" spans="1:18" x14ac:dyDescent="0.2"/>
    <row r="28" spans="1:18" x14ac:dyDescent="0.2"/>
    <row r="29" spans="1:18" x14ac:dyDescent="0.2"/>
    <row r="30" spans="1:18" x14ac:dyDescent="0.2"/>
    <row r="31" spans="1:18" x14ac:dyDescent="0.2"/>
    <row r="32" spans="1:1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</sheetData>
  <sheetProtection algorithmName="SHA-512" hashValue="WlUHfPVeQpPXNWZTc6lLKaWTYpVcZMULjk4AtNpJRrhsT/TGw7yolj1eZknltwdi1rCIgDFQL882AGULXvQkbQ==" saltValue="W14nhxQL9pe1T29ERveNbg==" spinCount="100000" sheet="1" objects="1" scenarios="1"/>
  <mergeCells count="13">
    <mergeCell ref="D8:J8"/>
    <mergeCell ref="A9:K9"/>
    <mergeCell ref="A15:H15"/>
    <mergeCell ref="A16:H16"/>
    <mergeCell ref="N16:R18"/>
    <mergeCell ref="A17:H17"/>
    <mergeCell ref="A18:H18"/>
    <mergeCell ref="D7:J7"/>
    <mergeCell ref="A2:F2"/>
    <mergeCell ref="G2:L2"/>
    <mergeCell ref="D3:J3"/>
    <mergeCell ref="D4:J4"/>
    <mergeCell ref="B6:C6"/>
  </mergeCells>
  <conditionalFormatting sqref="A11:H14 J11:L14">
    <cfRule type="expression" dxfId="7" priority="13">
      <formula>WEEKDAY($A11,2)&gt;5</formula>
    </cfRule>
  </conditionalFormatting>
  <conditionalFormatting sqref="L11:L14">
    <cfRule type="cellIs" dxfId="6" priority="11" operator="greaterThan">
      <formula>2.08333333333333</formula>
    </cfRule>
  </conditionalFormatting>
  <conditionalFormatting sqref="I11:I14">
    <cfRule type="expression" dxfId="5" priority="6">
      <formula>(G11-F11)&gt;6/24</formula>
    </cfRule>
    <cfRule type="expression" dxfId="4" priority="7">
      <formula>(E11-D11)&gt;6/24</formula>
    </cfRule>
    <cfRule type="expression" dxfId="3" priority="8">
      <formula>(C11-B11)&gt;6/24</formula>
    </cfRule>
    <cfRule type="expression" dxfId="2" priority="10">
      <formula>WEEKDAY($A11,2)&gt;5</formula>
    </cfRule>
  </conditionalFormatting>
  <conditionalFormatting sqref="I11:I14">
    <cfRule type="cellIs" dxfId="1" priority="9" operator="greaterThan">
      <formula>0.416666666666667</formula>
    </cfRule>
  </conditionalFormatting>
  <conditionalFormatting sqref="L18">
    <cfRule type="cellIs" dxfId="0" priority="5" operator="greaterThan">
      <formula>80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"/>
  <sheetViews>
    <sheetView workbookViewId="0">
      <selection activeCell="B2" sqref="B2:O2"/>
    </sheetView>
  </sheetViews>
  <sheetFormatPr baseColWidth="10" defaultRowHeight="12.75" x14ac:dyDescent="0.2"/>
  <sheetData>
    <row r="2" spans="2:15" ht="53.25" customHeight="1" x14ac:dyDescent="0.25">
      <c r="B2" s="440" t="s">
        <v>168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</row>
  </sheetData>
  <sheetProtection password="DB57" sheet="1" objects="1" scenarios="1"/>
  <mergeCells count="1">
    <mergeCell ref="B2:O2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kument" dvAspect="DVASPECT_ICON" shapeId="1029" r:id="rId4">
          <objectPr locked="0" defaultSize="0" autoPict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2</xdr:col>
                <xdr:colOff>571500</xdr:colOff>
                <xdr:row>9</xdr:row>
                <xdr:rowOff>28575</xdr:rowOff>
              </to>
            </anchor>
          </objectPr>
        </oleObject>
      </mc:Choice>
      <mc:Fallback>
        <oleObject progId="Dokument" dvAspect="DVASPECT_ICON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8"/>
  <sheetViews>
    <sheetView topLeftCell="A37" zoomScale="110" zoomScaleNormal="110" workbookViewId="0">
      <selection activeCell="B64" sqref="B64"/>
    </sheetView>
  </sheetViews>
  <sheetFormatPr baseColWidth="10" defaultRowHeight="12.75" x14ac:dyDescent="0.2"/>
  <cols>
    <col min="1" max="1" width="37" customWidth="1"/>
    <col min="2" max="2" width="15.28515625" customWidth="1"/>
    <col min="12" max="12" width="26.7109375" customWidth="1"/>
  </cols>
  <sheetData>
    <row r="2" spans="1:12" ht="69" customHeight="1" x14ac:dyDescent="0.2">
      <c r="A2" s="380" t="s">
        <v>169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</row>
    <row r="4" spans="1:12" ht="16.5" x14ac:dyDescent="0.2">
      <c r="A4" s="112" t="s">
        <v>118</v>
      </c>
    </row>
    <row r="5" spans="1:12" ht="13.5" thickBot="1" x14ac:dyDescent="0.25">
      <c r="A5" s="113" t="s">
        <v>139</v>
      </c>
    </row>
    <row r="6" spans="1:12" ht="15.75" thickBot="1" x14ac:dyDescent="0.25">
      <c r="A6" s="104"/>
      <c r="B6" s="105" t="s">
        <v>4</v>
      </c>
      <c r="C6" s="106" t="s">
        <v>5</v>
      </c>
      <c r="D6" s="106" t="s">
        <v>6</v>
      </c>
      <c r="E6" s="106" t="s">
        <v>5</v>
      </c>
      <c r="F6" s="106" t="s">
        <v>6</v>
      </c>
      <c r="G6" s="106" t="s">
        <v>5</v>
      </c>
      <c r="H6" s="106" t="s">
        <v>6</v>
      </c>
      <c r="I6" s="106" t="s">
        <v>82</v>
      </c>
      <c r="J6" s="106" t="s">
        <v>83</v>
      </c>
      <c r="K6" s="106" t="s">
        <v>84</v>
      </c>
      <c r="L6" s="106" t="s">
        <v>13</v>
      </c>
    </row>
    <row r="7" spans="1:12" ht="15.75" thickBot="1" x14ac:dyDescent="0.3">
      <c r="A7" s="103"/>
      <c r="B7" s="107" t="s">
        <v>85</v>
      </c>
      <c r="C7" s="108">
        <v>0.33333333333333331</v>
      </c>
      <c r="D7" s="108">
        <v>0.5</v>
      </c>
      <c r="E7" s="108">
        <v>0.52083333333333337</v>
      </c>
      <c r="F7" s="108">
        <v>0.70833333333333337</v>
      </c>
      <c r="G7" s="109"/>
      <c r="H7" s="109"/>
      <c r="I7" s="109"/>
      <c r="J7" s="110">
        <v>0.35416666666666669</v>
      </c>
      <c r="K7" s="109"/>
      <c r="L7" s="111"/>
    </row>
    <row r="8" spans="1:12" ht="15" x14ac:dyDescent="0.2">
      <c r="A8" s="104"/>
    </row>
    <row r="9" spans="1:12" ht="16.5" x14ac:dyDescent="0.2">
      <c r="A9" s="112" t="s">
        <v>119</v>
      </c>
    </row>
    <row r="10" spans="1:12" ht="13.5" thickBot="1" x14ac:dyDescent="0.25">
      <c r="A10" s="114" t="s">
        <v>120</v>
      </c>
    </row>
    <row r="11" spans="1:12" ht="15.75" thickBot="1" x14ac:dyDescent="0.3">
      <c r="A11" s="103"/>
      <c r="B11" s="105" t="s">
        <v>4</v>
      </c>
      <c r="C11" s="106" t="s">
        <v>5</v>
      </c>
      <c r="D11" s="106" t="s">
        <v>6</v>
      </c>
      <c r="E11" s="106" t="s">
        <v>5</v>
      </c>
      <c r="F11" s="106" t="s">
        <v>6</v>
      </c>
      <c r="G11" s="106" t="s">
        <v>5</v>
      </c>
      <c r="H11" s="106" t="s">
        <v>6</v>
      </c>
      <c r="I11" s="106" t="s">
        <v>82</v>
      </c>
      <c r="J11" s="106" t="s">
        <v>83</v>
      </c>
      <c r="K11" s="106" t="s">
        <v>84</v>
      </c>
      <c r="L11" s="106" t="s">
        <v>13</v>
      </c>
    </row>
    <row r="12" spans="1:12" ht="15.75" thickBot="1" x14ac:dyDescent="0.3">
      <c r="A12" s="103"/>
      <c r="B12" s="107" t="s">
        <v>85</v>
      </c>
      <c r="C12" s="108">
        <v>0.33333333333333331</v>
      </c>
      <c r="D12" s="108">
        <v>0.5</v>
      </c>
      <c r="E12" s="108">
        <v>0.52083333333333337</v>
      </c>
      <c r="F12" s="108">
        <v>0.70833333333333337</v>
      </c>
      <c r="G12" s="109"/>
      <c r="H12" s="109"/>
      <c r="I12" s="108">
        <v>1.3888888888888888E-2</v>
      </c>
      <c r="J12" s="110">
        <v>0.34027777777777773</v>
      </c>
      <c r="K12" s="109"/>
      <c r="L12" s="111"/>
    </row>
    <row r="13" spans="1:12" ht="15" x14ac:dyDescent="0.2">
      <c r="A13" s="104"/>
    </row>
    <row r="14" spans="1:12" ht="16.5" x14ac:dyDescent="0.2">
      <c r="A14" s="112" t="s">
        <v>121</v>
      </c>
    </row>
    <row r="15" spans="1:12" x14ac:dyDescent="0.2">
      <c r="A15" s="114" t="s">
        <v>122</v>
      </c>
    </row>
    <row r="16" spans="1:12" ht="13.5" thickBot="1" x14ac:dyDescent="0.25">
      <c r="A16" s="113"/>
    </row>
    <row r="17" spans="1:12" ht="15.75" thickBot="1" x14ac:dyDescent="0.3">
      <c r="A17" s="103"/>
      <c r="B17" s="105" t="s">
        <v>4</v>
      </c>
      <c r="C17" s="106" t="s">
        <v>5</v>
      </c>
      <c r="D17" s="106" t="s">
        <v>6</v>
      </c>
      <c r="E17" s="106" t="s">
        <v>5</v>
      </c>
      <c r="F17" s="106" t="s">
        <v>6</v>
      </c>
      <c r="G17" s="106" t="s">
        <v>5</v>
      </c>
      <c r="H17" s="106" t="s">
        <v>6</v>
      </c>
      <c r="I17" s="106" t="s">
        <v>82</v>
      </c>
      <c r="J17" s="106" t="s">
        <v>83</v>
      </c>
      <c r="K17" s="106" t="s">
        <v>12</v>
      </c>
      <c r="L17" s="106" t="s">
        <v>13</v>
      </c>
    </row>
    <row r="18" spans="1:12" ht="15.75" thickBot="1" x14ac:dyDescent="0.3">
      <c r="A18" s="127"/>
      <c r="B18" s="107" t="s">
        <v>86</v>
      </c>
      <c r="C18" s="108">
        <v>0.33333333333333331</v>
      </c>
      <c r="D18" s="108">
        <v>0.4375</v>
      </c>
      <c r="E18" s="108">
        <v>0.52083333333333337</v>
      </c>
      <c r="F18" s="108">
        <v>0.70833333333333337</v>
      </c>
      <c r="G18" s="109"/>
      <c r="H18" s="109"/>
      <c r="I18" s="109"/>
      <c r="J18" s="110">
        <v>0.29166666666666669</v>
      </c>
      <c r="K18" s="108">
        <v>6.25E-2</v>
      </c>
      <c r="L18" s="115" t="s">
        <v>133</v>
      </c>
    </row>
    <row r="19" spans="1:12" ht="13.5" thickBot="1" x14ac:dyDescent="0.25">
      <c r="A19" s="128"/>
      <c r="B19" s="129" t="s">
        <v>87</v>
      </c>
      <c r="C19" s="108">
        <v>0.29166666666666669</v>
      </c>
      <c r="D19" s="108">
        <v>0.41666666666666669</v>
      </c>
      <c r="E19" s="108">
        <v>0.47916666666666669</v>
      </c>
      <c r="F19" s="108">
        <v>0.5</v>
      </c>
      <c r="G19" s="108">
        <v>0.52083333333333337</v>
      </c>
      <c r="H19" s="108">
        <v>0.70833333333333337</v>
      </c>
      <c r="I19" s="109"/>
      <c r="J19" s="110">
        <v>0.33333333333333331</v>
      </c>
      <c r="K19" s="108">
        <v>6.25E-2</v>
      </c>
      <c r="L19" s="115" t="s">
        <v>142</v>
      </c>
    </row>
    <row r="20" spans="1:12" x14ac:dyDescent="0.2">
      <c r="A20" s="113"/>
    </row>
    <row r="21" spans="1:12" x14ac:dyDescent="0.2">
      <c r="A21" s="113"/>
    </row>
    <row r="22" spans="1:12" x14ac:dyDescent="0.2">
      <c r="A22" s="114" t="s">
        <v>123</v>
      </c>
    </row>
    <row r="23" spans="1:12" x14ac:dyDescent="0.2">
      <c r="A23" s="113"/>
    </row>
    <row r="24" spans="1:12" x14ac:dyDescent="0.2">
      <c r="A24" s="113"/>
    </row>
    <row r="25" spans="1:12" ht="33" x14ac:dyDescent="0.2">
      <c r="A25" s="112" t="s">
        <v>124</v>
      </c>
    </row>
    <row r="26" spans="1:12" ht="13.5" thickBot="1" x14ac:dyDescent="0.25">
      <c r="A26" s="113" t="s">
        <v>125</v>
      </c>
    </row>
    <row r="27" spans="1:12" ht="15.75" thickBot="1" x14ac:dyDescent="0.3">
      <c r="A27" s="103"/>
      <c r="B27" s="105" t="s">
        <v>4</v>
      </c>
      <c r="C27" s="106" t="s">
        <v>5</v>
      </c>
      <c r="D27" s="106" t="s">
        <v>6</v>
      </c>
      <c r="E27" s="106" t="s">
        <v>5</v>
      </c>
      <c r="F27" s="106" t="s">
        <v>6</v>
      </c>
      <c r="G27" s="106" t="s">
        <v>5</v>
      </c>
      <c r="H27" s="106" t="s">
        <v>6</v>
      </c>
      <c r="I27" s="106" t="s">
        <v>82</v>
      </c>
      <c r="J27" s="106" t="s">
        <v>83</v>
      </c>
      <c r="K27" s="106" t="s">
        <v>12</v>
      </c>
      <c r="L27" s="106" t="s">
        <v>13</v>
      </c>
    </row>
    <row r="28" spans="1:12" ht="15.75" thickBot="1" x14ac:dyDescent="0.3">
      <c r="A28" s="103"/>
      <c r="B28" s="107" t="s">
        <v>87</v>
      </c>
      <c r="C28" s="109"/>
      <c r="D28" s="109"/>
      <c r="E28" s="109"/>
      <c r="F28" s="109"/>
      <c r="G28" s="109"/>
      <c r="H28" s="109"/>
      <c r="I28" s="109"/>
      <c r="J28" s="110">
        <v>0</v>
      </c>
      <c r="K28" s="108">
        <v>0.33333333333333331</v>
      </c>
      <c r="L28" s="115" t="s">
        <v>88</v>
      </c>
    </row>
    <row r="29" spans="1:12" ht="15.75" thickBot="1" x14ac:dyDescent="0.3">
      <c r="A29" s="103"/>
      <c r="B29" s="107" t="s">
        <v>89</v>
      </c>
      <c r="C29" s="109"/>
      <c r="D29" s="109"/>
      <c r="E29" s="109"/>
      <c r="F29" s="109"/>
      <c r="G29" s="109"/>
      <c r="H29" s="109"/>
      <c r="I29" s="109"/>
      <c r="J29" s="110">
        <v>0</v>
      </c>
      <c r="K29" s="108">
        <v>0.33333333333333331</v>
      </c>
      <c r="L29" s="115" t="s">
        <v>90</v>
      </c>
    </row>
    <row r="30" spans="1:12" ht="15.75" thickBot="1" x14ac:dyDescent="0.25">
      <c r="A30" s="104"/>
      <c r="B30" s="107" t="s">
        <v>91</v>
      </c>
      <c r="C30" s="109"/>
      <c r="D30" s="109"/>
      <c r="E30" s="109"/>
      <c r="F30" s="109"/>
      <c r="G30" s="109"/>
      <c r="H30" s="109"/>
      <c r="I30" s="109"/>
      <c r="J30" s="116"/>
      <c r="K30" s="108">
        <v>0.33333333333333331</v>
      </c>
      <c r="L30" s="115" t="s">
        <v>92</v>
      </c>
    </row>
    <row r="31" spans="1:12" ht="15.75" thickBot="1" x14ac:dyDescent="0.25">
      <c r="A31" s="104"/>
      <c r="B31" s="107" t="s">
        <v>93</v>
      </c>
      <c r="C31" s="109"/>
      <c r="D31" s="109"/>
      <c r="E31" s="109"/>
      <c r="F31" s="109"/>
      <c r="G31" s="109"/>
      <c r="H31" s="109"/>
      <c r="I31" s="109"/>
      <c r="J31" s="116"/>
      <c r="K31" s="117"/>
      <c r="L31" s="115" t="s">
        <v>42</v>
      </c>
    </row>
    <row r="32" spans="1:12" ht="15" x14ac:dyDescent="0.2">
      <c r="A32" s="104"/>
    </row>
    <row r="33" spans="1:13" ht="16.5" x14ac:dyDescent="0.2">
      <c r="A33" s="112" t="s">
        <v>126</v>
      </c>
    </row>
    <row r="34" spans="1:13" x14ac:dyDescent="0.2">
      <c r="A34" s="113" t="s">
        <v>127</v>
      </c>
    </row>
    <row r="35" spans="1:13" x14ac:dyDescent="0.2">
      <c r="A35" s="113" t="s">
        <v>166</v>
      </c>
    </row>
    <row r="36" spans="1:13" ht="16.5" x14ac:dyDescent="0.2">
      <c r="A36" s="112" t="s">
        <v>128</v>
      </c>
    </row>
    <row r="37" spans="1:13" x14ac:dyDescent="0.2">
      <c r="A37" s="114" t="s">
        <v>94</v>
      </c>
    </row>
    <row r="38" spans="1:13" x14ac:dyDescent="0.2">
      <c r="A38" s="118" t="s">
        <v>129</v>
      </c>
    </row>
    <row r="39" spans="1:13" x14ac:dyDescent="0.2">
      <c r="A39" s="118" t="s">
        <v>130</v>
      </c>
    </row>
    <row r="40" spans="1:13" x14ac:dyDescent="0.2">
      <c r="A40" s="118" t="s">
        <v>95</v>
      </c>
    </row>
    <row r="41" spans="1:13" ht="31.5" customHeight="1" thickBot="1" x14ac:dyDescent="0.25">
      <c r="A41" s="381" t="s">
        <v>140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</row>
    <row r="42" spans="1:13" ht="15.75" thickBot="1" x14ac:dyDescent="0.3">
      <c r="A42" s="103"/>
      <c r="B42" s="105" t="s">
        <v>4</v>
      </c>
      <c r="C42" s="106" t="s">
        <v>5</v>
      </c>
      <c r="D42" s="106" t="s">
        <v>6</v>
      </c>
      <c r="E42" s="106" t="s">
        <v>5</v>
      </c>
      <c r="F42" s="106" t="s">
        <v>6</v>
      </c>
      <c r="G42" s="106" t="s">
        <v>5</v>
      </c>
      <c r="H42" s="106" t="s">
        <v>6</v>
      </c>
      <c r="I42" s="106" t="s">
        <v>82</v>
      </c>
      <c r="J42" s="106" t="s">
        <v>83</v>
      </c>
      <c r="K42" s="106" t="s">
        <v>12</v>
      </c>
      <c r="L42" s="106" t="s">
        <v>13</v>
      </c>
      <c r="M42" s="119"/>
    </row>
    <row r="43" spans="1:13" ht="33.75" customHeight="1" thickBot="1" x14ac:dyDescent="0.3">
      <c r="A43" s="121"/>
      <c r="B43" s="122" t="s">
        <v>93</v>
      </c>
      <c r="C43" s="105" t="s">
        <v>96</v>
      </c>
      <c r="D43" s="123">
        <v>0.53125</v>
      </c>
      <c r="E43" s="123">
        <v>0.75</v>
      </c>
      <c r="F43" s="123">
        <v>0.95833333333333337</v>
      </c>
      <c r="G43" s="105"/>
      <c r="H43" s="105"/>
      <c r="I43" s="105"/>
      <c r="J43" s="124">
        <v>0.41666666666666669</v>
      </c>
      <c r="K43" s="125">
        <v>6.25E-2</v>
      </c>
      <c r="L43" s="126" t="s">
        <v>97</v>
      </c>
      <c r="M43" s="119"/>
    </row>
    <row r="44" spans="1:13" x14ac:dyDescent="0.2">
      <c r="A44" s="113"/>
    </row>
    <row r="45" spans="1:13" x14ac:dyDescent="0.2">
      <c r="A45" s="113" t="s">
        <v>98</v>
      </c>
    </row>
    <row r="46" spans="1:13" ht="15" x14ac:dyDescent="0.2">
      <c r="A46" s="104"/>
    </row>
    <row r="47" spans="1:13" ht="16.5" x14ac:dyDescent="0.2">
      <c r="A47" s="112" t="s">
        <v>131</v>
      </c>
    </row>
    <row r="48" spans="1:13" x14ac:dyDescent="0.2">
      <c r="A48" s="113" t="s">
        <v>100</v>
      </c>
    </row>
    <row r="49" spans="1:12" ht="15.75" thickBot="1" x14ac:dyDescent="0.25">
      <c r="A49" s="104"/>
    </row>
    <row r="50" spans="1:12" ht="15.75" thickBot="1" x14ac:dyDescent="0.3">
      <c r="A50" s="103"/>
      <c r="B50" s="105" t="s">
        <v>4</v>
      </c>
      <c r="C50" s="106" t="s">
        <v>5</v>
      </c>
      <c r="D50" s="106" t="s">
        <v>6</v>
      </c>
      <c r="E50" s="106" t="s">
        <v>5</v>
      </c>
      <c r="F50" s="106" t="s">
        <v>6</v>
      </c>
      <c r="G50" s="106" t="s">
        <v>5</v>
      </c>
      <c r="H50" s="106" t="s">
        <v>6</v>
      </c>
      <c r="I50" s="106" t="s">
        <v>82</v>
      </c>
      <c r="J50" s="106" t="s">
        <v>83</v>
      </c>
      <c r="K50" s="106" t="s">
        <v>12</v>
      </c>
      <c r="L50" s="106" t="s">
        <v>13</v>
      </c>
    </row>
    <row r="51" spans="1:12" ht="15.75" thickBot="1" x14ac:dyDescent="0.3">
      <c r="A51" s="103"/>
      <c r="B51" s="107" t="s">
        <v>93</v>
      </c>
      <c r="C51" s="109" t="s">
        <v>96</v>
      </c>
      <c r="D51" s="120">
        <v>0.53125</v>
      </c>
      <c r="E51" s="120">
        <v>0.75</v>
      </c>
      <c r="F51" s="120">
        <v>0.95833333333333337</v>
      </c>
      <c r="G51" s="109"/>
      <c r="H51" s="109"/>
      <c r="I51" s="109"/>
      <c r="J51" s="110">
        <v>0.41666666666666669</v>
      </c>
      <c r="K51" s="115"/>
      <c r="L51" s="115" t="s">
        <v>99</v>
      </c>
    </row>
    <row r="52" spans="1:12" x14ac:dyDescent="0.2">
      <c r="A52" s="114"/>
    </row>
    <row r="53" spans="1:12" x14ac:dyDescent="0.2">
      <c r="A53" s="114"/>
    </row>
    <row r="54" spans="1:12" ht="16.5" x14ac:dyDescent="0.2">
      <c r="A54" s="112" t="s">
        <v>132</v>
      </c>
    </row>
    <row r="55" spans="1:12" x14ac:dyDescent="0.2">
      <c r="A55" s="113" t="s">
        <v>106</v>
      </c>
    </row>
    <row r="56" spans="1:12" ht="15.75" thickBot="1" x14ac:dyDescent="0.25">
      <c r="A56" s="104"/>
    </row>
    <row r="57" spans="1:12" ht="15.75" thickBot="1" x14ac:dyDescent="0.3">
      <c r="A57" s="103"/>
      <c r="B57" s="105" t="s">
        <v>4</v>
      </c>
      <c r="C57" s="106" t="s">
        <v>5</v>
      </c>
      <c r="D57" s="106" t="s">
        <v>6</v>
      </c>
      <c r="E57" s="106" t="s">
        <v>5</v>
      </c>
      <c r="F57" s="106" t="s">
        <v>6</v>
      </c>
      <c r="G57" s="106" t="s">
        <v>5</v>
      </c>
      <c r="H57" s="106" t="s">
        <v>6</v>
      </c>
      <c r="I57" s="106" t="s">
        <v>82</v>
      </c>
      <c r="J57" s="106" t="s">
        <v>83</v>
      </c>
      <c r="K57" s="106" t="s">
        <v>12</v>
      </c>
      <c r="L57" s="106" t="s">
        <v>13</v>
      </c>
    </row>
    <row r="58" spans="1:12" ht="15.75" thickBot="1" x14ac:dyDescent="0.3">
      <c r="A58" s="103"/>
      <c r="B58" s="107" t="s">
        <v>107</v>
      </c>
      <c r="C58" s="109"/>
      <c r="D58" s="109"/>
      <c r="E58" s="109"/>
      <c r="F58" s="109"/>
      <c r="G58" s="109"/>
      <c r="H58" s="109"/>
      <c r="I58" s="109"/>
      <c r="J58" s="110">
        <v>0</v>
      </c>
      <c r="K58" s="111"/>
      <c r="L58" s="115" t="s">
        <v>108</v>
      </c>
    </row>
    <row r="59" spans="1:12" ht="15.75" thickBot="1" x14ac:dyDescent="0.3">
      <c r="A59" s="103"/>
      <c r="B59" s="107" t="s">
        <v>114</v>
      </c>
      <c r="C59" s="109"/>
      <c r="D59" s="109"/>
      <c r="E59" s="109"/>
      <c r="F59" s="109"/>
      <c r="G59" s="109"/>
      <c r="H59" s="109"/>
      <c r="I59" s="109"/>
      <c r="J59" s="110">
        <v>0</v>
      </c>
      <c r="K59" s="111"/>
      <c r="L59" s="115" t="s">
        <v>143</v>
      </c>
    </row>
    <row r="60" spans="1:12" ht="15" x14ac:dyDescent="0.2">
      <c r="A60" s="104"/>
    </row>
    <row r="61" spans="1:12" x14ac:dyDescent="0.2">
      <c r="A61" s="113"/>
    </row>
    <row r="62" spans="1:12" ht="16.5" x14ac:dyDescent="0.2">
      <c r="A62" s="131" t="s">
        <v>145</v>
      </c>
    </row>
    <row r="63" spans="1:12" ht="16.5" x14ac:dyDescent="0.2">
      <c r="A63" s="131"/>
    </row>
    <row r="64" spans="1:12" ht="13.5" thickBot="1" x14ac:dyDescent="0.25">
      <c r="A64" s="132" t="s">
        <v>209</v>
      </c>
    </row>
    <row r="65" spans="1:13" ht="13.5" thickTop="1" x14ac:dyDescent="0.2">
      <c r="B65" s="168" t="s">
        <v>22</v>
      </c>
      <c r="C65" s="169"/>
      <c r="D65" s="169"/>
      <c r="E65" s="169"/>
      <c r="F65" s="169"/>
      <c r="G65" s="169"/>
      <c r="H65" s="169"/>
      <c r="I65" s="170"/>
      <c r="J65" s="142">
        <v>190</v>
      </c>
      <c r="K65" s="152"/>
      <c r="L65" s="149" t="str">
        <f>IF(M65="","","Saldo")</f>
        <v/>
      </c>
      <c r="M65" s="156" t="str">
        <f>IF(K69="","",IF(J69&gt;40,J69,0))</f>
        <v/>
      </c>
    </row>
    <row r="66" spans="1:13" ht="13.5" thickBot="1" x14ac:dyDescent="0.25">
      <c r="B66" s="171" t="s">
        <v>8</v>
      </c>
      <c r="C66" s="172"/>
      <c r="D66" s="172"/>
      <c r="E66" s="172"/>
      <c r="F66" s="172"/>
      <c r="G66" s="172"/>
      <c r="H66" s="172"/>
      <c r="I66" s="172"/>
      <c r="J66" s="140">
        <v>176</v>
      </c>
      <c r="K66" s="141"/>
      <c r="L66" s="150" t="str">
        <f>IF(M66=0,"","ausbezahlte Mehr- oder Überstunden")</f>
        <v>ausbezahlte Mehr- oder Überstunden</v>
      </c>
      <c r="M66" s="163">
        <v>60</v>
      </c>
    </row>
    <row r="67" spans="1:13" x14ac:dyDescent="0.2">
      <c r="B67" s="173" t="s">
        <v>116</v>
      </c>
      <c r="C67" s="174"/>
      <c r="D67" s="174"/>
      <c r="E67" s="174"/>
      <c r="F67" s="174"/>
      <c r="G67" s="174"/>
      <c r="H67" s="174"/>
      <c r="I67" s="175"/>
      <c r="J67" s="143">
        <f>J65-J66</f>
        <v>14</v>
      </c>
      <c r="K67" s="144"/>
      <c r="L67" s="151" t="str">
        <f>IF(M67="","","Mehrstunden, die 1:1,5 vergütet werden (40 Stunden werden 1:1 übertragen)")</f>
        <v/>
      </c>
      <c r="M67" s="157" t="str">
        <f>IF(K69="","",IF((M65-M66)&lt;40,0,IF(J69&gt;40,J69-M66-40,0)))</f>
        <v/>
      </c>
    </row>
    <row r="68" spans="1:13" ht="13.5" thickBot="1" x14ac:dyDescent="0.25">
      <c r="B68" s="176" t="s">
        <v>47</v>
      </c>
      <c r="C68" s="177"/>
      <c r="D68" s="177"/>
      <c r="E68" s="177"/>
      <c r="F68" s="177"/>
      <c r="G68" s="177"/>
      <c r="H68" s="177"/>
      <c r="I68" s="177"/>
      <c r="J68" s="145">
        <v>55.5</v>
      </c>
      <c r="K68" s="146"/>
      <c r="L68" s="153" t="str">
        <f>IF(M68="","","Zuschlag in Stunden")</f>
        <v/>
      </c>
      <c r="M68" s="158" t="str">
        <f>IF(K69="","",M67/2)</f>
        <v/>
      </c>
    </row>
    <row r="69" spans="1:13" ht="20.25" thickTop="1" thickBot="1" x14ac:dyDescent="0.25">
      <c r="B69" s="178" t="s">
        <v>16</v>
      </c>
      <c r="C69" s="179"/>
      <c r="D69" s="179"/>
      <c r="E69" s="179"/>
      <c r="F69" s="179"/>
      <c r="G69" s="179"/>
      <c r="H69" s="179"/>
      <c r="I69" s="180"/>
      <c r="J69" s="70">
        <f>J67+J68</f>
        <v>69.5</v>
      </c>
      <c r="K69" s="155"/>
      <c r="L69" s="154" t="s">
        <v>45</v>
      </c>
      <c r="M69" s="148">
        <f>IF(J69=0,0,IF(M65="",J69-M66,J69-M66+M68))</f>
        <v>9.5</v>
      </c>
    </row>
    <row r="70" spans="1:13" ht="13.5" thickTop="1" x14ac:dyDescent="0.2"/>
    <row r="71" spans="1:13" x14ac:dyDescent="0.2">
      <c r="A71" s="132"/>
    </row>
    <row r="72" spans="1:13" ht="13.5" thickBot="1" x14ac:dyDescent="0.25">
      <c r="A72" s="132" t="s">
        <v>210</v>
      </c>
    </row>
    <row r="73" spans="1:13" ht="13.5" thickTop="1" x14ac:dyDescent="0.2">
      <c r="B73" s="387" t="s">
        <v>22</v>
      </c>
      <c r="C73" s="388"/>
      <c r="D73" s="388"/>
      <c r="E73" s="388"/>
      <c r="F73" s="388"/>
      <c r="G73" s="388"/>
      <c r="H73" s="388"/>
      <c r="I73" s="389"/>
      <c r="J73" s="142">
        <v>190</v>
      </c>
      <c r="K73" s="152"/>
      <c r="L73" s="160" t="str">
        <f>IF(M73="","","Saldo")</f>
        <v>Saldo</v>
      </c>
      <c r="M73" s="161">
        <f>IF(M74="","",IF(J77&gt;40,J77,0))</f>
        <v>119.5</v>
      </c>
    </row>
    <row r="74" spans="1:13" ht="13.5" thickBot="1" x14ac:dyDescent="0.25">
      <c r="B74" s="390" t="s">
        <v>8</v>
      </c>
      <c r="C74" s="391"/>
      <c r="D74" s="391"/>
      <c r="E74" s="391"/>
      <c r="F74" s="391"/>
      <c r="G74" s="391"/>
      <c r="H74" s="391"/>
      <c r="I74" s="391"/>
      <c r="J74" s="140">
        <v>176</v>
      </c>
      <c r="K74" s="141"/>
      <c r="L74" s="162" t="str">
        <f>IF(M74=0,"","ausbezahlte Mehr- oder Überstunden")</f>
        <v>ausbezahlte Mehr- oder Überstunden</v>
      </c>
      <c r="M74" s="163">
        <v>60</v>
      </c>
    </row>
    <row r="75" spans="1:13" ht="72.75" customHeight="1" x14ac:dyDescent="0.2">
      <c r="B75" s="392" t="s">
        <v>116</v>
      </c>
      <c r="C75" s="393"/>
      <c r="D75" s="393"/>
      <c r="E75" s="393"/>
      <c r="F75" s="393"/>
      <c r="G75" s="393"/>
      <c r="H75" s="393"/>
      <c r="I75" s="394"/>
      <c r="J75" s="143">
        <f>J73-J74</f>
        <v>14</v>
      </c>
      <c r="K75" s="144"/>
      <c r="L75" s="164" t="str">
        <f>IF(M75="","","Mehr- oder Überstunden die als Zeitausgleich übertragen werden (das sind jene Stunden die nicht 1:1 übertragen werden können)")</f>
        <v>Mehr- oder Überstunden die als Zeitausgleich übertragen werden (das sind jene Stunden die nicht 1:1 übertragen werden können)</v>
      </c>
      <c r="M75" s="165">
        <f>IF(M74="","",IF((M73-M74)&lt;40,0,IF(J77&gt;40,J77-M74-40,0)))</f>
        <v>19.5</v>
      </c>
    </row>
    <row r="76" spans="1:13" ht="13.5" thickBot="1" x14ac:dyDescent="0.25">
      <c r="B76" s="382" t="s">
        <v>47</v>
      </c>
      <c r="C76" s="383"/>
      <c r="D76" s="383"/>
      <c r="E76" s="383"/>
      <c r="F76" s="383"/>
      <c r="G76" s="383"/>
      <c r="H76" s="383"/>
      <c r="I76" s="383"/>
      <c r="J76" s="145">
        <v>105.5</v>
      </c>
      <c r="K76" s="146"/>
      <c r="L76" s="166" t="str">
        <f>IF(M76="","","Zuschlag in Stunden")</f>
        <v>Zuschlag in Stunden</v>
      </c>
      <c r="M76" s="167">
        <f>IF(M75="","",M75/2)</f>
        <v>9.75</v>
      </c>
    </row>
    <row r="77" spans="1:13" ht="20.25" thickTop="1" thickBot="1" x14ac:dyDescent="0.25">
      <c r="B77" s="384" t="s">
        <v>16</v>
      </c>
      <c r="C77" s="385"/>
      <c r="D77" s="385"/>
      <c r="E77" s="385"/>
      <c r="F77" s="385"/>
      <c r="G77" s="385"/>
      <c r="H77" s="385"/>
      <c r="I77" s="386"/>
      <c r="J77" s="70">
        <f>J75+J76</f>
        <v>119.5</v>
      </c>
      <c r="K77" s="146"/>
      <c r="L77" s="154" t="s">
        <v>45</v>
      </c>
      <c r="M77" s="148">
        <f>IF(J77=0,0,IF(M73="",J77-M74,J77-M74+M76))</f>
        <v>69.25</v>
      </c>
    </row>
    <row r="78" spans="1:13" ht="13.5" thickTop="1" x14ac:dyDescent="0.2"/>
  </sheetData>
  <sheetProtection algorithmName="SHA-512" hashValue="wbDxgQ7aflFGaX5rx4bDopuTWKv3QX+e3ubKyEaXVsXIEp2tvISQ8TGk5C4i50/yJVrlqaRHdb/ba8UU3atpNQ==" saltValue="xDl9OGidyeBgsgpTH7GR8Q==" spinCount="100000" sheet="1" objects="1" scenarios="1"/>
  <mergeCells count="7">
    <mergeCell ref="A2:L2"/>
    <mergeCell ref="A41:L41"/>
    <mergeCell ref="B76:I76"/>
    <mergeCell ref="B77:I77"/>
    <mergeCell ref="B73:I73"/>
    <mergeCell ref="B74:I74"/>
    <mergeCell ref="B75:I75"/>
  </mergeCells>
  <conditionalFormatting sqref="M69">
    <cfRule type="cellIs" dxfId="1461" priority="3" operator="greaterThan">
      <formula>40</formula>
    </cfRule>
  </conditionalFormatting>
  <conditionalFormatting sqref="M77">
    <cfRule type="cellIs" dxfId="1460" priority="2" operator="greaterThan">
      <formula>40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showGridLines="0" tabSelected="1" workbookViewId="0">
      <selection activeCell="F9" sqref="F9"/>
    </sheetView>
  </sheetViews>
  <sheetFormatPr baseColWidth="10" defaultColWidth="0" defaultRowHeight="12.75" zeroHeight="1" x14ac:dyDescent="0.2"/>
  <cols>
    <col min="1" max="1" width="27.140625" style="78" customWidth="1"/>
    <col min="2" max="2" width="28" style="78" customWidth="1"/>
    <col min="3" max="3" width="10.7109375" style="78" customWidth="1"/>
    <col min="4" max="4" width="12.28515625" style="78" customWidth="1"/>
    <col min="5" max="5" width="5.28515625" style="78" customWidth="1"/>
    <col min="6" max="6" width="6.5703125" style="78" customWidth="1"/>
    <col min="7" max="7" width="7.85546875" style="78" bestFit="1" customWidth="1"/>
    <col min="8" max="8" width="11.85546875" style="78" customWidth="1"/>
    <col min="9" max="9" width="7.140625" style="78" customWidth="1"/>
    <col min="10" max="10" width="5.5703125" style="78" customWidth="1"/>
    <col min="11" max="11" width="22.28515625" style="78" customWidth="1"/>
    <col min="12" max="12" width="7.7109375" style="78" customWidth="1"/>
    <col min="13" max="14" width="11.42578125" style="78" customWidth="1"/>
    <col min="15" max="15" width="13.42578125" style="78" customWidth="1"/>
    <col min="16" max="17" width="11.42578125" style="78" customWidth="1"/>
    <col min="18" max="18" width="11.42578125" style="78" hidden="1" customWidth="1"/>
    <col min="19" max="19" width="13.42578125" style="78" hidden="1" customWidth="1"/>
    <col min="20" max="26" width="0" style="78" hidden="1" customWidth="1"/>
    <col min="27" max="16384" width="11.42578125" style="78" hidden="1"/>
  </cols>
  <sheetData>
    <row r="1" spans="1:26" ht="31.5" customHeight="1" thickTop="1" thickBot="1" x14ac:dyDescent="0.25">
      <c r="A1" s="355" t="s">
        <v>15</v>
      </c>
      <c r="B1" s="357" t="s">
        <v>46</v>
      </c>
      <c r="C1" s="79"/>
    </row>
    <row r="2" spans="1:26" ht="9" customHeight="1" thickTop="1" x14ac:dyDescent="0.2">
      <c r="B2" s="23"/>
      <c r="C2" s="356"/>
    </row>
    <row r="3" spans="1:26" ht="21" customHeight="1" x14ac:dyDescent="0.25">
      <c r="A3" s="444" t="s">
        <v>224</v>
      </c>
      <c r="B3" s="442"/>
      <c r="C3" s="442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</row>
    <row r="4" spans="1:26" ht="21" customHeight="1" x14ac:dyDescent="0.2">
      <c r="A4" s="445" t="s">
        <v>225</v>
      </c>
      <c r="B4" s="442"/>
      <c r="C4" s="442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1:26" ht="12" customHeight="1" x14ac:dyDescent="0.2">
      <c r="A5" s="441"/>
      <c r="B5" s="356"/>
      <c r="C5" s="356"/>
    </row>
    <row r="6" spans="1:26" ht="19.5" customHeight="1" x14ac:dyDescent="0.25">
      <c r="A6" s="27" t="s">
        <v>134</v>
      </c>
    </row>
    <row r="7" spans="1:26" x14ac:dyDescent="0.2"/>
    <row r="8" spans="1:26" ht="15" x14ac:dyDescent="0.2">
      <c r="A8" s="28" t="s">
        <v>49</v>
      </c>
    </row>
    <row r="9" spans="1:26" ht="13.5" customHeight="1" x14ac:dyDescent="0.2">
      <c r="A9" s="78" t="s">
        <v>115</v>
      </c>
    </row>
    <row r="10" spans="1:26" ht="13.5" thickBot="1" x14ac:dyDescent="0.25">
      <c r="A10" s="396"/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24"/>
      <c r="M10" s="24"/>
      <c r="O10" s="29"/>
      <c r="P10" s="29"/>
      <c r="Q10" s="29"/>
      <c r="R10" s="29"/>
      <c r="S10" s="29"/>
      <c r="T10" s="29"/>
      <c r="U10" s="29"/>
      <c r="V10" s="29"/>
      <c r="W10" s="29"/>
    </row>
    <row r="11" spans="1:26" ht="23.25" customHeight="1" x14ac:dyDescent="0.2">
      <c r="A11" s="244" t="s">
        <v>0</v>
      </c>
      <c r="B11" s="331" t="s">
        <v>206</v>
      </c>
      <c r="C11" s="332"/>
      <c r="K11" s="237"/>
    </row>
    <row r="12" spans="1:26" ht="15.75" x14ac:dyDescent="0.2">
      <c r="A12" s="245" t="s">
        <v>2</v>
      </c>
      <c r="B12" s="329" t="s">
        <v>206</v>
      </c>
      <c r="C12" s="332"/>
    </row>
    <row r="13" spans="1:26" ht="15.75" x14ac:dyDescent="0.2">
      <c r="A13" s="245" t="s">
        <v>3</v>
      </c>
      <c r="B13" s="333" t="s">
        <v>207</v>
      </c>
      <c r="K13" s="78" t="s">
        <v>167</v>
      </c>
    </row>
    <row r="14" spans="1:26" ht="21" thickBot="1" x14ac:dyDescent="0.25">
      <c r="A14" s="246" t="s">
        <v>189</v>
      </c>
      <c r="B14" s="330" t="s">
        <v>148</v>
      </c>
      <c r="C14" s="332"/>
      <c r="U14" s="79"/>
      <c r="V14" s="79"/>
      <c r="W14" s="79"/>
      <c r="X14" s="79"/>
      <c r="Y14" s="79"/>
      <c r="Z14" s="79"/>
    </row>
    <row r="15" spans="1:26" x14ac:dyDescent="0.2">
      <c r="U15" s="79"/>
      <c r="V15" s="79"/>
      <c r="W15" s="79"/>
      <c r="X15" s="79"/>
      <c r="Y15" s="79"/>
      <c r="Z15" s="79"/>
    </row>
    <row r="16" spans="1:26" x14ac:dyDescent="0.2">
      <c r="U16" s="79"/>
      <c r="V16" s="79"/>
      <c r="W16" s="79"/>
      <c r="X16" s="79"/>
      <c r="Y16" s="79"/>
      <c r="Z16" s="79"/>
    </row>
    <row r="17" spans="1:26" ht="39" thickBot="1" x14ac:dyDescent="0.25">
      <c r="A17" s="22" t="s">
        <v>56</v>
      </c>
      <c r="B17" s="29" t="s">
        <v>196</v>
      </c>
      <c r="U17" s="79"/>
      <c r="V17" s="79"/>
      <c r="W17" s="79"/>
      <c r="X17" s="79"/>
      <c r="Y17" s="79"/>
      <c r="Z17" s="79"/>
    </row>
    <row r="18" spans="1:26" x14ac:dyDescent="0.2">
      <c r="A18" s="345" t="s">
        <v>176</v>
      </c>
      <c r="B18" s="336">
        <v>1</v>
      </c>
      <c r="U18" s="79"/>
      <c r="V18" s="79"/>
      <c r="W18" s="79"/>
      <c r="X18" s="79"/>
      <c r="Y18" s="79"/>
      <c r="Z18" s="79"/>
    </row>
    <row r="19" spans="1:26" x14ac:dyDescent="0.2">
      <c r="A19" s="346" t="s">
        <v>177</v>
      </c>
      <c r="B19" s="337">
        <v>1</v>
      </c>
      <c r="U19" s="79"/>
      <c r="V19" s="79"/>
      <c r="W19" s="79"/>
      <c r="X19" s="79"/>
      <c r="Y19" s="79"/>
      <c r="Z19" s="79"/>
    </row>
    <row r="20" spans="1:26" x14ac:dyDescent="0.2">
      <c r="A20" s="346" t="s">
        <v>178</v>
      </c>
      <c r="B20" s="337">
        <v>1</v>
      </c>
      <c r="U20" s="79"/>
      <c r="V20" s="79"/>
      <c r="W20" s="79"/>
      <c r="X20" s="79"/>
      <c r="Y20" s="79"/>
      <c r="Z20" s="79"/>
    </row>
    <row r="21" spans="1:26" x14ac:dyDescent="0.2">
      <c r="A21" s="346" t="s">
        <v>179</v>
      </c>
      <c r="B21" s="337">
        <v>1</v>
      </c>
      <c r="U21" s="79"/>
      <c r="V21" s="79"/>
      <c r="W21" s="79"/>
      <c r="X21" s="79"/>
      <c r="Y21" s="79"/>
      <c r="Z21" s="79"/>
    </row>
    <row r="22" spans="1:26" x14ac:dyDescent="0.2">
      <c r="A22" s="346" t="s">
        <v>180</v>
      </c>
      <c r="B22" s="337">
        <v>1</v>
      </c>
      <c r="U22" s="79"/>
      <c r="V22" s="79"/>
      <c r="W22" s="79"/>
      <c r="X22" s="79"/>
      <c r="Y22" s="79"/>
      <c r="Z22" s="79"/>
    </row>
    <row r="23" spans="1:26" x14ac:dyDescent="0.2">
      <c r="A23" s="346" t="s">
        <v>181</v>
      </c>
      <c r="B23" s="337"/>
      <c r="U23" s="79"/>
      <c r="V23" s="79"/>
      <c r="W23" s="79"/>
      <c r="X23" s="79"/>
      <c r="Y23" s="79"/>
      <c r="Z23" s="79"/>
    </row>
    <row r="24" spans="1:26" ht="13.5" thickBot="1" x14ac:dyDescent="0.25">
      <c r="A24" s="347" t="s">
        <v>182</v>
      </c>
      <c r="B24" s="338"/>
      <c r="U24" s="79"/>
      <c r="V24" s="79"/>
      <c r="W24" s="79"/>
      <c r="X24" s="79"/>
      <c r="Y24" s="79"/>
      <c r="Z24" s="79"/>
    </row>
    <row r="25" spans="1:26" x14ac:dyDescent="0.2">
      <c r="A25" s="348" t="s">
        <v>175</v>
      </c>
      <c r="B25" s="366" t="s">
        <v>208</v>
      </c>
      <c r="C25" s="78" t="s">
        <v>213</v>
      </c>
      <c r="U25" s="79"/>
      <c r="V25" s="79"/>
      <c r="W25" s="79"/>
      <c r="X25" s="79"/>
      <c r="Y25" s="79"/>
      <c r="Z25" s="79"/>
    </row>
    <row r="26" spans="1:26" ht="16.149999999999999" customHeight="1" x14ac:dyDescent="0.2">
      <c r="A26" s="349" t="s">
        <v>201</v>
      </c>
      <c r="B26" s="367" t="s">
        <v>202</v>
      </c>
      <c r="C26" s="78" t="s">
        <v>213</v>
      </c>
      <c r="U26" s="30"/>
      <c r="V26" s="30"/>
      <c r="W26" s="31"/>
      <c r="X26" s="30"/>
      <c r="Y26" s="21"/>
      <c r="Z26" s="79"/>
    </row>
    <row r="27" spans="1:26" ht="1.1499999999999999" hidden="1" customHeight="1" x14ac:dyDescent="0.2">
      <c r="A27" s="349"/>
      <c r="B27" s="334"/>
    </row>
    <row r="28" spans="1:26" ht="15.75" customHeight="1" thickBot="1" x14ac:dyDescent="0.25">
      <c r="A28" s="349" t="s">
        <v>58</v>
      </c>
      <c r="B28" s="335">
        <v>40</v>
      </c>
    </row>
    <row r="29" spans="1:26" ht="17.25" customHeight="1" thickBot="1" x14ac:dyDescent="0.25">
      <c r="A29" s="246" t="s">
        <v>67</v>
      </c>
      <c r="B29" s="344">
        <f>B28/SUM(B18:B24)/24</f>
        <v>0.33333333333333331</v>
      </c>
    </row>
    <row r="30" spans="1:26" x14ac:dyDescent="0.2"/>
    <row r="31" spans="1:26" ht="20.25" customHeight="1" thickBot="1" x14ac:dyDescent="0.25">
      <c r="A31" s="22" t="s">
        <v>42</v>
      </c>
    </row>
    <row r="32" spans="1:26" ht="21.75" customHeight="1" thickBot="1" x14ac:dyDescent="0.25">
      <c r="A32" s="339" t="s">
        <v>59</v>
      </c>
      <c r="B32" s="342">
        <v>38718</v>
      </c>
      <c r="C32" s="354">
        <f>IF(MONTH(B32)=MONTH($A$47),B33,0)</f>
        <v>25</v>
      </c>
      <c r="I32" s="25" t="s">
        <v>200</v>
      </c>
      <c r="J32" s="32"/>
      <c r="K32" s="32"/>
      <c r="L32" s="32"/>
      <c r="M32" s="32"/>
      <c r="N32" s="32"/>
      <c r="O32" s="32"/>
      <c r="P32" s="32"/>
    </row>
    <row r="33" spans="1:17" x14ac:dyDescent="0.2">
      <c r="A33" s="340" t="s">
        <v>60</v>
      </c>
      <c r="B33" s="343">
        <v>25</v>
      </c>
      <c r="I33" s="80"/>
    </row>
    <row r="34" spans="1:17" ht="38.25" x14ac:dyDescent="0.2">
      <c r="A34" s="341" t="s">
        <v>195</v>
      </c>
      <c r="B34" s="343"/>
      <c r="H34" s="21"/>
      <c r="I34" s="78" t="s">
        <v>61</v>
      </c>
      <c r="K34" s="79"/>
      <c r="L34" s="79"/>
      <c r="M34" s="79"/>
      <c r="N34" s="79"/>
      <c r="O34" s="79"/>
    </row>
    <row r="35" spans="1:17" x14ac:dyDescent="0.2">
      <c r="I35" s="78" t="s">
        <v>62</v>
      </c>
      <c r="J35" s="79"/>
      <c r="K35" s="79"/>
      <c r="L35" s="79"/>
      <c r="M35" s="79"/>
      <c r="N35" s="79"/>
      <c r="O35" s="79"/>
    </row>
    <row r="36" spans="1:17" x14ac:dyDescent="0.2">
      <c r="J36" s="79"/>
      <c r="K36" s="30"/>
      <c r="L36" s="30"/>
      <c r="M36" s="30"/>
      <c r="N36" s="30"/>
      <c r="O36" s="30"/>
    </row>
    <row r="37" spans="1:17" ht="40.5" customHeight="1" thickBot="1" x14ac:dyDescent="0.25">
      <c r="A37" s="395" t="s">
        <v>199</v>
      </c>
      <c r="B37" s="395"/>
    </row>
    <row r="38" spans="1:17" ht="39" thickBot="1" x14ac:dyDescent="0.25">
      <c r="A38" s="350" t="s">
        <v>197</v>
      </c>
      <c r="B38" s="351"/>
      <c r="E38" s="33"/>
      <c r="F38" s="79"/>
      <c r="G38" s="21"/>
      <c r="H38" s="21"/>
      <c r="I38" s="78" t="s">
        <v>63</v>
      </c>
    </row>
    <row r="39" spans="1:17" ht="41.25" customHeight="1" thickBot="1" x14ac:dyDescent="0.25">
      <c r="A39" s="350" t="s">
        <v>198</v>
      </c>
      <c r="B39" s="352"/>
      <c r="E39" s="34"/>
      <c r="F39" s="79"/>
      <c r="G39" s="21"/>
      <c r="H39" s="21"/>
      <c r="I39" s="78" t="s">
        <v>64</v>
      </c>
    </row>
    <row r="40" spans="1:17" ht="13.5" thickBot="1" x14ac:dyDescent="0.25">
      <c r="B40" s="353">
        <f>IF(AND(B38&gt;0,B39&gt;0),"FALSCH! (bitte entweder im Kommaformat oder im Zeitformat eingeben)",IF(B39="",B38,B39*24))</f>
        <v>0</v>
      </c>
      <c r="E40" s="26"/>
      <c r="I40" s="78" t="s">
        <v>65</v>
      </c>
      <c r="J40" s="35"/>
    </row>
    <row r="41" spans="1:17" x14ac:dyDescent="0.2">
      <c r="J41" s="36" t="s">
        <v>55</v>
      </c>
      <c r="K41" s="37"/>
      <c r="L41" s="32"/>
      <c r="M41" s="32"/>
      <c r="N41" s="32"/>
      <c r="O41" s="32"/>
      <c r="P41" s="32"/>
    </row>
    <row r="42" spans="1:17" x14ac:dyDescent="0.2">
      <c r="J42" s="36" t="s">
        <v>66</v>
      </c>
      <c r="K42" s="37"/>
      <c r="L42" s="32"/>
      <c r="M42" s="32"/>
      <c r="N42" s="32"/>
      <c r="O42" s="32"/>
      <c r="P42" s="32"/>
    </row>
    <row r="43" spans="1:17" x14ac:dyDescent="0.2"/>
    <row r="44" spans="1:17" ht="18" x14ac:dyDescent="0.25">
      <c r="A44" s="38" t="s">
        <v>57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67"/>
      <c r="P44" s="67"/>
      <c r="Q44" s="67"/>
    </row>
    <row r="45" spans="1:17" ht="13.5" thickBot="1" x14ac:dyDescent="0.25"/>
    <row r="46" spans="1:17" ht="46.5" customHeight="1" thickBot="1" x14ac:dyDescent="0.25">
      <c r="A46" s="9" t="s">
        <v>4</v>
      </c>
      <c r="B46" s="10" t="s">
        <v>5</v>
      </c>
      <c r="C46" s="10" t="s">
        <v>6</v>
      </c>
      <c r="D46" s="10" t="s">
        <v>5</v>
      </c>
      <c r="E46" s="10" t="s">
        <v>6</v>
      </c>
      <c r="F46" s="10" t="s">
        <v>5</v>
      </c>
      <c r="G46" s="10" t="s">
        <v>6</v>
      </c>
      <c r="H46" s="11" t="s">
        <v>11</v>
      </c>
      <c r="I46" s="12" t="s">
        <v>7</v>
      </c>
      <c r="J46" s="13" t="s">
        <v>12</v>
      </c>
      <c r="K46" s="14" t="s">
        <v>13</v>
      </c>
      <c r="L46" s="15" t="s">
        <v>14</v>
      </c>
    </row>
    <row r="47" spans="1:17" ht="13.5" thickTop="1" x14ac:dyDescent="0.2">
      <c r="A47" s="1">
        <v>41640</v>
      </c>
      <c r="B47" s="16"/>
      <c r="C47" s="16"/>
      <c r="D47" s="16"/>
      <c r="E47" s="16"/>
      <c r="F47" s="16"/>
      <c r="G47" s="16"/>
      <c r="H47" s="17"/>
      <c r="I47" s="71">
        <f>(C47-B47)+(E47-D47)+(G47-F47)-H47</f>
        <v>0</v>
      </c>
      <c r="J47" s="17"/>
      <c r="K47" s="18" t="s">
        <v>28</v>
      </c>
      <c r="L47" s="3"/>
    </row>
    <row r="48" spans="1:17" x14ac:dyDescent="0.2"/>
    <row r="49" spans="1:1" x14ac:dyDescent="0.2">
      <c r="A49" s="78" t="s">
        <v>147</v>
      </c>
    </row>
    <row r="50" spans="1:1" x14ac:dyDescent="0.2">
      <c r="A50" s="78" t="s">
        <v>146</v>
      </c>
    </row>
  </sheetData>
  <protectedRanges>
    <protectedRange sqref="B18:B28" name="Bereich1"/>
  </protectedRanges>
  <mergeCells count="2">
    <mergeCell ref="A37:B37"/>
    <mergeCell ref="A10:K10"/>
  </mergeCells>
  <conditionalFormatting sqref="A47:H47 J47:L47">
    <cfRule type="expression" dxfId="1459" priority="16">
      <formula>WEEKDAY($A47,2)&gt;5</formula>
    </cfRule>
  </conditionalFormatting>
  <conditionalFormatting sqref="L47">
    <cfRule type="cellIs" dxfId="1458" priority="9" operator="greaterThan">
      <formula>2.08333333333333</formula>
    </cfRule>
  </conditionalFormatting>
  <conditionalFormatting sqref="I47">
    <cfRule type="expression" dxfId="1457" priority="4">
      <formula>(G47-F47)&gt;6/24</formula>
    </cfRule>
    <cfRule type="expression" dxfId="1456" priority="5">
      <formula>(E47-D47)&gt;6/24</formula>
    </cfRule>
    <cfRule type="expression" dxfId="1455" priority="6">
      <formula>(C47-B47)&gt;6/24</formula>
    </cfRule>
    <cfRule type="expression" dxfId="1454" priority="8">
      <formula>WEEKDAY($A47,2)&gt;5</formula>
    </cfRule>
  </conditionalFormatting>
  <conditionalFormatting sqref="I47">
    <cfRule type="cellIs" dxfId="1453" priority="7" operator="greaterThan">
      <formula>0.416666666666667</formula>
    </cfRule>
  </conditionalFormatting>
  <dataValidations count="1">
    <dataValidation allowBlank="1" showInputMessage="1" showErrorMessage="1" sqref="D14 F14"/>
  </dataValidations>
  <printOptions horizontalCentered="1" verticalCentered="1"/>
  <pageMargins left="0.27559055118110237" right="0.27559055118110237" top="0.49" bottom="0.39370078740157483" header="0.31496062992125984" footer="0.31496062992125984"/>
  <pageSetup paperSize="9" scale="44" orientation="portrait" r:id="rId1"/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Dokument" dvAspect="DVASPECT_ICON" shapeId="2049" r:id="rId4">
          <objectPr locked="0" defaultSize="0" autoPict="0" r:id="rId5">
            <anchor moveWithCells="1">
              <from>
                <xdr:col>10</xdr:col>
                <xdr:colOff>762000</xdr:colOff>
                <xdr:row>13</xdr:row>
                <xdr:rowOff>76200</xdr:rowOff>
              </from>
              <to>
                <xdr:col>12</xdr:col>
                <xdr:colOff>295275</xdr:colOff>
                <xdr:row>17</xdr:row>
                <xdr:rowOff>114300</xdr:rowOff>
              </to>
            </anchor>
          </objectPr>
        </oleObject>
      </mc:Choice>
      <mc:Fallback>
        <oleObject progId="Dokument" dvAspect="DVASPECT_ICON" shapeId="204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'Static Data'!$A$11:$A$12</xm:f>
          </x14:formula1>
          <xm:sqref>B26</xm:sqref>
        </x14:dataValidation>
        <x14:dataValidation type="list" allowBlank="1" showInputMessage="1" showErrorMessage="1">
          <x14:formula1>
            <xm:f>'Static Data'!$A$7:$A$8</xm:f>
          </x14:formula1>
          <xm:sqref>B14 E14</xm:sqref>
        </x14:dataValidation>
        <x14:dataValidation type="list" allowBlank="1" showInputMessage="1" showErrorMessage="1">
          <x14:formula1>
            <xm:f>'Static Data'!$A$14:$A$19</xm:f>
          </x14:formula1>
          <xm:sqref>B25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zoomScaleNormal="100" workbookViewId="0">
      <selection activeCell="T11" sqref="T11"/>
    </sheetView>
  </sheetViews>
  <sheetFormatPr baseColWidth="10" defaultColWidth="0" defaultRowHeight="12.75" zeroHeight="1" x14ac:dyDescent="0.2"/>
  <cols>
    <col min="1" max="1" width="15.140625" style="78" customWidth="1"/>
    <col min="2" max="3" width="5.7109375" style="78" customWidth="1"/>
    <col min="4" max="4" width="6.85546875" style="78" customWidth="1"/>
    <col min="5" max="5" width="5.7109375" style="78" customWidth="1"/>
    <col min="6" max="6" width="6.42578125" style="78" customWidth="1"/>
    <col min="7" max="7" width="6.5703125" style="78" bestFit="1" customWidth="1"/>
    <col min="8" max="8" width="6.5703125" style="78" customWidth="1"/>
    <col min="9" max="9" width="8.28515625" style="78" bestFit="1" customWidth="1"/>
    <col min="10" max="10" width="5.7109375" style="78" customWidth="1"/>
    <col min="11" max="11" width="19.42578125" style="78" bestFit="1" customWidth="1"/>
    <col min="12" max="12" width="7.42578125" style="78" customWidth="1"/>
    <col min="13" max="13" width="11.42578125" style="78" customWidth="1"/>
    <col min="14" max="14" width="4.7109375" style="78" customWidth="1"/>
    <col min="15" max="15" width="10.28515625" style="24" customWidth="1"/>
    <col min="16" max="16" width="10.85546875" style="24" customWidth="1"/>
    <col min="17" max="18" width="9.5703125" style="24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  <c r="O1" s="78"/>
      <c r="P1" s="78"/>
      <c r="Q1" s="78"/>
      <c r="R1" s="78"/>
    </row>
    <row r="2" spans="1:21" ht="23.25" customHeight="1" thickTop="1" thickBot="1" x14ac:dyDescent="0.25">
      <c r="A2" s="247" t="str">
        <f>"Name: "&amp;Start!B11</f>
        <v>Name: NN</v>
      </c>
      <c r="B2" s="362"/>
      <c r="C2" s="363"/>
      <c r="D2" s="364"/>
      <c r="E2" s="362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  <c r="M2" s="79"/>
      <c r="N2" s="79"/>
      <c r="O2" s="181"/>
      <c r="P2" s="78"/>
      <c r="Q2" s="78"/>
      <c r="R2" s="78"/>
    </row>
    <row r="3" spans="1:21" ht="19.5" customHeight="1" thickTop="1" thickBot="1" x14ac:dyDescent="0.25">
      <c r="A3" s="247" t="s">
        <v>1</v>
      </c>
      <c r="B3" s="414">
        <f>A10</f>
        <v>45292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M3" s="79"/>
      <c r="O3" s="183"/>
      <c r="P3" s="78"/>
      <c r="Q3" s="78"/>
      <c r="R3" s="78"/>
    </row>
    <row r="4" spans="1:21" ht="17.25" thickTop="1" x14ac:dyDescent="0.2">
      <c r="A4" s="6" t="s">
        <v>2</v>
      </c>
      <c r="B4" s="317" t="str">
        <f>Start!B12</f>
        <v>NN</v>
      </c>
      <c r="C4" s="318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4">
        <f>Start!B34</f>
        <v>0</v>
      </c>
      <c r="M4" s="79"/>
      <c r="O4" s="78"/>
      <c r="P4" s="78"/>
      <c r="Q4" s="78"/>
      <c r="R4" s="78"/>
      <c r="U4" s="78" t="s">
        <v>211</v>
      </c>
    </row>
    <row r="5" spans="1:21" x14ac:dyDescent="0.2">
      <c r="A5" s="7" t="s">
        <v>3</v>
      </c>
      <c r="B5" s="319" t="str">
        <f>Start!B13</f>
        <v>123456</v>
      </c>
      <c r="C5" s="320"/>
      <c r="D5" s="69">
        <f>N9</f>
        <v>22</v>
      </c>
      <c r="E5" s="74">
        <f>Start!B29</f>
        <v>0.33333333333333331</v>
      </c>
      <c r="F5" s="74">
        <f>+D5*E5</f>
        <v>7.333333333333333</v>
      </c>
      <c r="G5" s="74">
        <f>+L6*E5</f>
        <v>0</v>
      </c>
      <c r="H5" s="74">
        <f>SUM(J10:J40)</f>
        <v>0</v>
      </c>
      <c r="I5" s="74">
        <f>+F5-G5-H5</f>
        <v>7.333333333333333</v>
      </c>
      <c r="J5" s="191"/>
      <c r="K5" s="192" t="s">
        <v>19</v>
      </c>
      <c r="L5" s="92">
        <f>IF(MONTH(L2)=MONTH(A10),L3,0)</f>
        <v>25</v>
      </c>
      <c r="M5" s="79"/>
      <c r="O5" s="193"/>
      <c r="P5" s="78"/>
      <c r="Q5" s="78"/>
      <c r="R5" s="78"/>
      <c r="T5" s="78">
        <f>IF(T10='Static Data'!C21,1,2)</f>
        <v>1</v>
      </c>
    </row>
    <row r="6" spans="1:21" ht="15.75" x14ac:dyDescent="0.2">
      <c r="A6" s="7"/>
      <c r="B6" s="288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2">
        <f>COUNTIF(K10:K40,"Urlaub*")</f>
        <v>0</v>
      </c>
      <c r="M6" s="79"/>
      <c r="P6" s="78"/>
      <c r="Q6" s="78"/>
      <c r="R6" s="78"/>
    </row>
    <row r="7" spans="1:21" ht="13.5" customHeight="1" thickBot="1" x14ac:dyDescent="0.25">
      <c r="A7" s="8"/>
      <c r="B7" s="194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>(L4+L5-L6)</f>
        <v>25</v>
      </c>
      <c r="M7" s="79"/>
      <c r="O7" s="80" t="s">
        <v>105</v>
      </c>
      <c r="P7" s="78"/>
      <c r="Q7" s="78"/>
      <c r="R7" s="78"/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84"/>
      <c r="N8" s="84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1.75" thickTop="1" x14ac:dyDescent="0.2">
      <c r="A9" s="197" t="s">
        <v>4</v>
      </c>
      <c r="B9" s="268" t="s">
        <v>5</v>
      </c>
      <c r="C9" s="268" t="s">
        <v>6</v>
      </c>
      <c r="D9" s="268" t="s">
        <v>5</v>
      </c>
      <c r="E9" s="268" t="s">
        <v>6</v>
      </c>
      <c r="F9" s="268" t="s">
        <v>5</v>
      </c>
      <c r="G9" s="268" t="s">
        <v>6</v>
      </c>
      <c r="H9" s="269" t="s">
        <v>11</v>
      </c>
      <c r="I9" s="270" t="s">
        <v>7</v>
      </c>
      <c r="J9" s="271" t="s">
        <v>12</v>
      </c>
      <c r="K9" s="272" t="s">
        <v>13</v>
      </c>
      <c r="L9" s="290" t="s">
        <v>14</v>
      </c>
      <c r="M9" s="84"/>
      <c r="N9" s="147">
        <f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22</v>
      </c>
      <c r="O9" s="83"/>
      <c r="P9" s="83"/>
      <c r="Q9" s="82"/>
      <c r="R9" s="86">
        <f>S9</f>
        <v>0</v>
      </c>
      <c r="S9" s="87">
        <f>+I42</f>
        <v>0</v>
      </c>
    </row>
    <row r="10" spans="1:21" x14ac:dyDescent="0.2">
      <c r="A10" s="96">
        <v>45292</v>
      </c>
      <c r="B10" s="75"/>
      <c r="C10" s="75"/>
      <c r="D10" s="75"/>
      <c r="E10" s="75"/>
      <c r="F10" s="75"/>
      <c r="G10" s="75"/>
      <c r="H10" s="72"/>
      <c r="I10" s="71">
        <f t="shared" ref="I10" si="0">(C10-B10)+(E10-D10)+(G10-F10)-H10</f>
        <v>0</v>
      </c>
      <c r="J10" s="72"/>
      <c r="K10" s="77" t="s">
        <v>28</v>
      </c>
      <c r="L10" s="291" t="str">
        <f>IF(TEXT(A10,"TTT")="So",SUM(I10),"")</f>
        <v/>
      </c>
      <c r="M10" s="264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40" si="1">(I10+J10)*24</f>
        <v>0</v>
      </c>
      <c r="P10" s="82">
        <f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si="2">O10-P10</f>
        <v>0</v>
      </c>
      <c r="R10" s="68" t="str">
        <f>IF(Q10&lt;&gt;0,S9+Q10,"")</f>
        <v/>
      </c>
      <c r="S10" s="87">
        <f t="shared" ref="S10:S40" si="3">S9+Q10</f>
        <v>0</v>
      </c>
    </row>
    <row r="11" spans="1:21" x14ac:dyDescent="0.2">
      <c r="A11" s="96">
        <f>IF(Jän!A10="","",IF(MONTH(Jän!A10+1)=MONTH(Jän!$A$10),Jän!A10+1,""))</f>
        <v>45293</v>
      </c>
      <c r="B11" s="75"/>
      <c r="C11" s="75"/>
      <c r="D11" s="72"/>
      <c r="E11" s="72"/>
      <c r="F11" s="75"/>
      <c r="G11" s="75"/>
      <c r="H11" s="75"/>
      <c r="I11" s="263">
        <f>IF(AND(B10="",C10="",D10="",E10="",F10="",G10="",H10=""),((C11-B11)+(E11-D11)+(G11-F11)-H11),IF(('Static Data'!$B$3-(MAX(C10,B10,E10,D10,G10,F10,H10)-MIN(C11,B11,E11,D11,G11,F11,H11)))&gt;'Static Data'!$B$4,((C11-B11)+(E11-D11)+(G11-F11)-H11),IF(AND(B11="",),((C11-B11)+(E11-D11)+(G11-F11)-H11),IF(AND(B11="",C11="",D11="",E11="",F11="",G11="",H11=""),((C11-B11)+(E11-D11)+(G11-F11)-H11)," 11:00 Stunden Ruhezeit beachten"))))</f>
        <v>0</v>
      </c>
      <c r="J11" s="72"/>
      <c r="K11" s="77"/>
      <c r="L11" s="95" t="str">
        <f>IF(TEXT(A11,"TTT")="So",SUM(I10:I11),"")</f>
        <v/>
      </c>
      <c r="M11" s="264" t="str">
        <f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Di</v>
      </c>
      <c r="N11" s="147"/>
      <c r="O11" s="82">
        <f t="shared" si="1"/>
        <v>0</v>
      </c>
      <c r="P11" s="82">
        <f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si="2"/>
        <v>0</v>
      </c>
      <c r="R11" s="68" t="str">
        <f t="shared" ref="R11:R40" si="4">IF(Q11&lt;&gt;0,S10+Q11,"")</f>
        <v/>
      </c>
      <c r="S11" s="87">
        <f>S10+Q11</f>
        <v>0</v>
      </c>
    </row>
    <row r="12" spans="1:21" x14ac:dyDescent="0.2">
      <c r="A12" s="96">
        <f>IF(A11="","",IF(MONTH(A11+1)=MONTH(Jän!$A$10),A11+1,""))</f>
        <v>45294</v>
      </c>
      <c r="B12" s="75"/>
      <c r="C12" s="75"/>
      <c r="D12" s="75"/>
      <c r="E12" s="72"/>
      <c r="F12" s="75"/>
      <c r="G12" s="72"/>
      <c r="H12" s="72"/>
      <c r="I12" s="263">
        <f>IF(AND(B11="",C11="",D11="",E11="",F11="",G11="",H11=""),((C12-B12)+(E12-D12)+(G12-F12)-H12),IF(('Static Data'!$B$3-(MAX(C11,B11,E11,D11,G11,F11,H11)-MIN(C12,B12,E12,D12,G12,F12,H12)))&gt;'Static Data'!$B$4,((C12-B12)+(E12-D12)+(G12-F12)-H12),IF(AND(B12="",),((C12-B12)+(E12-D12)+(G12-F12)-H12),IF(AND(B12="",C12="",D12="",E12="",F12="",G12="",H12=""),((C12-B12)+(E12-D12)+(G12-F12)-H12)," 11:00 Stunden Ruhezeit beachten"))))</f>
        <v>0</v>
      </c>
      <c r="J12" s="72"/>
      <c r="K12" s="77"/>
      <c r="L12" s="95" t="str">
        <f>IF(TEXT(A12,"TTT")="So",SUM(I10:I12),"")</f>
        <v/>
      </c>
      <c r="M12" s="264" t="str">
        <f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Mi</v>
      </c>
      <c r="N12" s="147"/>
      <c r="O12" s="82">
        <f>(I12+J12)*24</f>
        <v>0</v>
      </c>
      <c r="P12" s="82">
        <f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si="2"/>
        <v>0</v>
      </c>
      <c r="R12" s="68" t="str">
        <f t="shared" si="4"/>
        <v/>
      </c>
      <c r="S12" s="87">
        <f t="shared" si="3"/>
        <v>0</v>
      </c>
    </row>
    <row r="13" spans="1:21" x14ac:dyDescent="0.2">
      <c r="A13" s="96">
        <f>IF(A12="","",IF(MONTH(A12+1)=MONTH(Jän!$A$10),A12+1,""))</f>
        <v>45295</v>
      </c>
      <c r="B13" s="75"/>
      <c r="C13" s="75"/>
      <c r="D13" s="75"/>
      <c r="E13" s="72"/>
      <c r="F13" s="75"/>
      <c r="G13" s="72"/>
      <c r="H13" s="72"/>
      <c r="I13" s="263">
        <f>IF(AND(B12="",C12="",D12="",E12="",F12="",G12="",H12=""),((C13-B13)+(E13-D13)+(G13-F13)-H13),IF(('Static Data'!$B$3-(MAX(C12,B12,E12,D12,G12,F12,H12)-MIN(C13,B13,E13,D13,G13,F13,H13)))&gt;'Static Data'!$B$4,((C13-B13)+(E13-D13)+(G13-F13)-H13),IF(AND(B13="",),((C13-B13)+(E13-D13)+(G13-F13)-H13),IF(AND(B13="",C13="",D13="",E13="",F13="",G13="",H13=""),((C13-B13)+(E13-D13)+(G13-F13)-H13)," 11:00 Stunden Ruhezeit beachten"))))</f>
        <v>0</v>
      </c>
      <c r="J13" s="72"/>
      <c r="K13" s="77"/>
      <c r="L13" s="95" t="str">
        <f t="shared" ref="L13:L15" si="5">IF(TEXT(A13,"TTT")="So",SUM(I7:I13),"")</f>
        <v/>
      </c>
      <c r="M13" s="264" t="str">
        <f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Do</v>
      </c>
      <c r="N13" s="147"/>
      <c r="O13" s="82">
        <f t="shared" si="1"/>
        <v>0</v>
      </c>
      <c r="P13" s="82">
        <f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si="2"/>
        <v>0</v>
      </c>
      <c r="R13" s="68" t="str">
        <f t="shared" si="4"/>
        <v/>
      </c>
      <c r="S13" s="87">
        <f t="shared" si="3"/>
        <v>0</v>
      </c>
    </row>
    <row r="14" spans="1:21" x14ac:dyDescent="0.2">
      <c r="A14" s="96">
        <f>IF(A13="","",IF(MONTH(A13+1)=MONTH(Jän!$A$10),A13+1,""))</f>
        <v>45296</v>
      </c>
      <c r="B14" s="75"/>
      <c r="C14" s="75"/>
      <c r="D14" s="72"/>
      <c r="E14" s="72"/>
      <c r="F14" s="75"/>
      <c r="G14" s="72"/>
      <c r="H14" s="72"/>
      <c r="I14" s="263">
        <f>IF(AND(B13="",C13="",D13="",E13="",F13="",G13="",H13=""),((C14-B14)+(E14-D14)+(G14-F14)-H14),IF(('Static Data'!$B$3-(MAX(C13,B13,E13,D13,G13,F13,H13)-MIN(C14,B14,E14,D14,G14,F14,H14)))&gt;'Static Data'!$B$4,((C14-B14)+(E14-D14)+(G14-F14)-H14),IF(AND(B14="",),((C14-B14)+(E14-D14)+(G14-F14)-H14),IF(AND(B14="",C14="",D14="",E14="",F14="",G14="",H14=""),((C14-B14)+(E14-D14)+(G14-F14)-H14)," 11:00 Stunden Ruhezeit beachten"))))</f>
        <v>0</v>
      </c>
      <c r="J14" s="72"/>
      <c r="K14" s="77"/>
      <c r="L14" s="95" t="str">
        <f t="shared" si="5"/>
        <v/>
      </c>
      <c r="M14" s="264" t="str">
        <f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Fr</v>
      </c>
      <c r="N14" s="147"/>
      <c r="O14" s="82">
        <f t="shared" si="1"/>
        <v>0</v>
      </c>
      <c r="P14" s="82">
        <f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>O14-P14</f>
        <v>0</v>
      </c>
      <c r="R14" s="68" t="str">
        <f t="shared" si="4"/>
        <v/>
      </c>
      <c r="S14" s="87">
        <f t="shared" si="3"/>
        <v>0</v>
      </c>
    </row>
    <row r="15" spans="1:21" x14ac:dyDescent="0.2">
      <c r="A15" s="96">
        <f>IF(A14="","",IF(MONTH(A14+1)=MONTH(Jän!$A$10),A14+1,""))</f>
        <v>45297</v>
      </c>
      <c r="B15" s="4"/>
      <c r="C15" s="75"/>
      <c r="D15" s="72"/>
      <c r="E15" s="72"/>
      <c r="F15" s="75"/>
      <c r="G15" s="72"/>
      <c r="H15" s="72"/>
      <c r="I15" s="263">
        <f>IF(AND(B14="",C14="",D14="",E14="",F14="",G14="",H14=""),((C15-B15)+(E15-D15)+(G15-F15)-H15),IF(('Static Data'!$B$3-(MAX(C14,B14,E14,D14,G14,F14,H14)-MIN(C15,B15,E15,D15,G15,F15,H15)))&gt;'Static Data'!$B$4,((C15-B15)+(E15-D15)+(G15-F15)-H15),IF(AND(B15="",),((C15-B15)+(E15-D15)+(G15-F15)-H15),IF(AND(B15="",C15="",D15="",E15="",F15="",G15="",H15=""),((C15-B15)+(E15-D15)+(G15-F15)-H15)," 11:00 Stunden Ruhezeit beachten"))))</f>
        <v>0</v>
      </c>
      <c r="J15" s="72"/>
      <c r="K15" s="77" t="s">
        <v>29</v>
      </c>
      <c r="L15" s="95" t="str">
        <f t="shared" si="5"/>
        <v/>
      </c>
      <c r="M15" s="264" t="str">
        <f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frei</v>
      </c>
      <c r="N15" s="147"/>
      <c r="O15" s="82">
        <f t="shared" si="1"/>
        <v>0</v>
      </c>
      <c r="P15" s="82">
        <f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si="2"/>
        <v>0</v>
      </c>
      <c r="R15" s="68" t="str">
        <f t="shared" si="4"/>
        <v/>
      </c>
      <c r="S15" s="87">
        <f t="shared" si="3"/>
        <v>0</v>
      </c>
    </row>
    <row r="16" spans="1:21" x14ac:dyDescent="0.2">
      <c r="A16" s="96">
        <f>IF(A15="","",IF(MONTH(A15+1)=MONTH(Jän!$A$10),A15+1,""))</f>
        <v>45298</v>
      </c>
      <c r="B16" s="287"/>
      <c r="C16" s="75"/>
      <c r="D16" s="5"/>
      <c r="E16" s="5"/>
      <c r="F16" s="75"/>
      <c r="G16" s="72"/>
      <c r="H16" s="72"/>
      <c r="I16" s="263">
        <f>IF(AND(B15="",C15="",D15="",E15="",F15="",G15="",H15=""),((C16-B16)+(E16-D16)+(G16-F16)-H16),IF(('Static Data'!$B$3-(MAX(C15,B15,E15,D15,G15,F15,H15)-MIN(C16,B16,E16,D16,G16,F16,H16)))&gt;'Static Data'!$B$4,((C16-B16)+(E16-D16)+(G16-F16)-H16),IF(AND(B16="",),((C16-B16)+(E16-D16)+(G16-F16)-H16),IF(AND(B16="",C16="",D16="",E16="",F16="",G16="",H16=""),((C16-B16)+(E16-D16)+(G16-F16)-H16)," 11:00 Stunden Ruhezeit beachten"))))</f>
        <v>0</v>
      </c>
      <c r="J16" s="72"/>
      <c r="K16" s="77"/>
      <c r="L16" s="95">
        <f>IF(TEXT(A16,"TTT")="So",SUM(I10:I16),"")</f>
        <v>0</v>
      </c>
      <c r="M16" s="264" t="str">
        <f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frei</v>
      </c>
      <c r="N16" s="147"/>
      <c r="O16" s="82">
        <f t="shared" si="1"/>
        <v>0</v>
      </c>
      <c r="P16" s="82">
        <f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si="2"/>
        <v>0</v>
      </c>
      <c r="R16" s="68" t="str">
        <f t="shared" si="4"/>
        <v/>
      </c>
      <c r="S16" s="87">
        <f t="shared" si="3"/>
        <v>0</v>
      </c>
    </row>
    <row r="17" spans="1:19" x14ac:dyDescent="0.2">
      <c r="A17" s="96">
        <f>IF(A16="","",IF(MONTH(A16+1)=MONTH(Jän!$A$10),A16+1,""))</f>
        <v>45299</v>
      </c>
      <c r="B17" s="75"/>
      <c r="C17" s="75"/>
      <c r="D17" s="5"/>
      <c r="E17" s="5"/>
      <c r="F17" s="75"/>
      <c r="G17" s="72"/>
      <c r="H17" s="72"/>
      <c r="I17" s="263">
        <f>IF(AND(B16="",C16="",D16="",E16="",F16="",G16="",H16=""),((C17-B17)+(E17-D17)+(G17-F17)-H17),IF(('Static Data'!$B$3-(MAX(C16,B16,E16,D16,G16,F16,H16)-MIN(C17,B17,E17,D17,G17,F17,H17)))&gt;'Static Data'!$B$4,((C17-B17)+(E17-D17)+(G17-F17)-H17),IF(AND(B17="",),((C17-B17)+(E17-D17)+(G17-F17)-H17),IF(AND(B17="",C17="",D17="",E17="",F17="",G17="",H17=""),((C17-B17)+(E17-D17)+(G17-F17)-H17)," 11:00 Stunden Ruhezeit beachten"))))</f>
        <v>0</v>
      </c>
      <c r="J17" s="72"/>
      <c r="K17" s="77"/>
      <c r="L17" s="95" t="str">
        <f t="shared" ref="L17:L40" si="6">IF(TEXT(A17,"TTT")="So",SUM(I11:I17),"")</f>
        <v/>
      </c>
      <c r="M17" s="264" t="str">
        <f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Mo</v>
      </c>
      <c r="N17" s="147"/>
      <c r="O17" s="82">
        <f t="shared" si="1"/>
        <v>0</v>
      </c>
      <c r="P17" s="82">
        <f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si="2"/>
        <v>0</v>
      </c>
      <c r="R17" s="68" t="str">
        <f t="shared" si="4"/>
        <v/>
      </c>
      <c r="S17" s="87">
        <f t="shared" si="3"/>
        <v>0</v>
      </c>
    </row>
    <row r="18" spans="1:19" x14ac:dyDescent="0.2">
      <c r="A18" s="96">
        <f>IF(A17="","",IF(MONTH(A17+1)=MONTH(Jän!$A$10),A17+1,""))</f>
        <v>45300</v>
      </c>
      <c r="B18" s="75"/>
      <c r="C18" s="75"/>
      <c r="D18" s="72"/>
      <c r="E18" s="72"/>
      <c r="F18" s="75"/>
      <c r="G18" s="72"/>
      <c r="H18" s="72"/>
      <c r="I18" s="263">
        <f>IF(AND(B17="",C17="",D17="",E17="",F17="",G17="",H17=""),((C18-B18)+(E18-D18)+(G18-F18)-H18),IF(('Static Data'!$B$3-(MAX(C17,B17,E17,D17,G17,F17,H17)-MIN(C18,B18,E18,D18,G18,F18,H18)))&gt;'Static Data'!$B$4,((C18-B18)+(E18-D18)+(G18-F18)-H18),IF(AND(B18="",),((C18-B18)+(E18-D18)+(G18-F18)-H18),IF(AND(B18="",C18="",D18="",E18="",F18="",G18="",H18=""),((C18-B18)+(E18-D18)+(G18-F18)-H18)," 11:00 Stunden Ruhezeit beachten"))))</f>
        <v>0</v>
      </c>
      <c r="J18" s="72"/>
      <c r="K18" s="77"/>
      <c r="L18" s="95" t="str">
        <f t="shared" si="6"/>
        <v/>
      </c>
      <c r="M18" s="264" t="str">
        <f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Di</v>
      </c>
      <c r="N18" s="147"/>
      <c r="O18" s="82">
        <f t="shared" si="1"/>
        <v>0</v>
      </c>
      <c r="P18" s="82">
        <f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>O18-P18</f>
        <v>0</v>
      </c>
      <c r="R18" s="68" t="str">
        <f t="shared" si="4"/>
        <v/>
      </c>
      <c r="S18" s="87">
        <f>S17+Q18</f>
        <v>0</v>
      </c>
    </row>
    <row r="19" spans="1:19" x14ac:dyDescent="0.2">
      <c r="A19" s="96">
        <f>IF(A18="","",IF(MONTH(A18+1)=MONTH(Jän!$A$10),A18+1,""))</f>
        <v>45301</v>
      </c>
      <c r="B19" s="75"/>
      <c r="C19" s="75"/>
      <c r="D19" s="72"/>
      <c r="E19" s="72"/>
      <c r="F19" s="75"/>
      <c r="G19" s="72"/>
      <c r="H19" s="72"/>
      <c r="I19" s="263">
        <f>IF(AND(B18="",C18="",D18="",E18="",F18="",G18="",H18=""),((C19-B19)+(E19-D19)+(G19-F19)-H19),IF(('Static Data'!$B$3-(MAX(C18,B18,E18,D18,G18,F18,H18)-MIN(C19,B19,E19,D19,G19,F19,H19)))&gt;'Static Data'!$B$4,((C19-B19)+(E19-D19)+(G19-F19)-H19),IF(AND(B19="",),((C19-B19)+(E19-D19)+(G19-F19)-H19),IF(AND(B19="",C19="",D19="",E19="",F19="",G19="",H19=""),((C19-B19)+(E19-D19)+(G19-F19)-H19)," 11:00 Stunden Ruhezeit beachten"))))</f>
        <v>0</v>
      </c>
      <c r="J19" s="72"/>
      <c r="K19" s="77"/>
      <c r="L19" s="95" t="str">
        <f t="shared" si="6"/>
        <v/>
      </c>
      <c r="M19" s="264" t="str">
        <f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Mi</v>
      </c>
      <c r="N19" s="147"/>
      <c r="O19" s="82">
        <f t="shared" si="1"/>
        <v>0</v>
      </c>
      <c r="P19" s="82">
        <f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si="2"/>
        <v>0</v>
      </c>
      <c r="R19" s="68" t="str">
        <f t="shared" si="4"/>
        <v/>
      </c>
      <c r="S19" s="87">
        <f t="shared" si="3"/>
        <v>0</v>
      </c>
    </row>
    <row r="20" spans="1:19" x14ac:dyDescent="0.2">
      <c r="A20" s="96">
        <f>IF(A19="","",IF(MONTH(A19+1)=MONTH(Jän!$A$10),A19+1,""))</f>
        <v>45302</v>
      </c>
      <c r="B20" s="75"/>
      <c r="C20" s="75"/>
      <c r="D20" s="72"/>
      <c r="E20" s="72"/>
      <c r="F20" s="75"/>
      <c r="G20" s="72"/>
      <c r="H20" s="72"/>
      <c r="I20" s="263">
        <f>IF(AND(B19="",C19="",D19="",E19="",F19="",G19="",H19=""),((C20-B20)+(E20-D20)+(G20-F20)-H20),IF(('Static Data'!$B$3-(MAX(C19,B19,E19,D19,G19,F19,H19)-MIN(C20,B20,E20,D20,G20,F20,H20)))&gt;'Static Data'!$B$4,((C20-B20)+(E20-D20)+(G20-F20)-H20),IF(AND(B20="",),((C20-B20)+(E20-D20)+(G20-F20)-H20),IF(AND(B20="",C20="",D20="",E20="",F20="",G20="",H20=""),((C20-B20)+(E20-D20)+(G20-F20)-H20)," 11:00 Stunden Ruhezeit beachten"))))</f>
        <v>0</v>
      </c>
      <c r="J20" s="72"/>
      <c r="K20" s="77"/>
      <c r="L20" s="95" t="str">
        <f t="shared" si="6"/>
        <v/>
      </c>
      <c r="M20" s="264" t="str">
        <f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Do</v>
      </c>
      <c r="N20" s="147"/>
      <c r="O20" s="82">
        <f t="shared" si="1"/>
        <v>0</v>
      </c>
      <c r="P20" s="82">
        <f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si="2"/>
        <v>0</v>
      </c>
      <c r="R20" s="68" t="str">
        <f t="shared" si="4"/>
        <v/>
      </c>
      <c r="S20" s="87">
        <f t="shared" si="3"/>
        <v>0</v>
      </c>
    </row>
    <row r="21" spans="1:19" x14ac:dyDescent="0.2">
      <c r="A21" s="96">
        <f>IF(A20="","",IF(MONTH(A20+1)=MONTH(Jän!$A$10),A20+1,""))</f>
        <v>45303</v>
      </c>
      <c r="B21" s="75"/>
      <c r="C21" s="75"/>
      <c r="D21" s="72"/>
      <c r="E21" s="72"/>
      <c r="F21" s="75"/>
      <c r="G21" s="72"/>
      <c r="H21" s="72"/>
      <c r="I21" s="263">
        <f>IF(AND(B20="",C20="",D20="",E20="",F20="",G20="",H20=""),((C21-B21)+(E21-D21)+(G21-F21)-H21),IF(('Static Data'!$B$3-(MAX(C20,B20,E20,D20,G20,F20,H20)-MIN(C21,B21,E21,D21,G21,F21,H21)))&gt;'Static Data'!$B$4,((C21-B21)+(E21-D21)+(G21-F21)-H21),IF(AND(B21="",),((C21-B21)+(E21-D21)+(G21-F21)-H21),IF(AND(B21="",C21="",D21="",E21="",F21="",G21="",H21=""),((C21-B21)+(E21-D21)+(G21-F21)-H21)," 11:00 Stunden Ruhezeit beachten"))))</f>
        <v>0</v>
      </c>
      <c r="J21" s="72"/>
      <c r="K21" s="77"/>
      <c r="L21" s="95" t="str">
        <f t="shared" si="6"/>
        <v/>
      </c>
      <c r="M21" s="264" t="str">
        <f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Fr</v>
      </c>
      <c r="N21" s="147"/>
      <c r="O21" s="82">
        <f t="shared" si="1"/>
        <v>0</v>
      </c>
      <c r="P21" s="82">
        <f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si="2"/>
        <v>0</v>
      </c>
      <c r="R21" s="68" t="str">
        <f t="shared" si="4"/>
        <v/>
      </c>
      <c r="S21" s="87">
        <f t="shared" si="3"/>
        <v>0</v>
      </c>
    </row>
    <row r="22" spans="1:19" x14ac:dyDescent="0.2">
      <c r="A22" s="96">
        <f>IF(A21="","",IF(MONTH(A21+1)=MONTH(Jän!$A$10),A21+1,""))</f>
        <v>45304</v>
      </c>
      <c r="B22" s="75"/>
      <c r="C22" s="75"/>
      <c r="D22" s="72"/>
      <c r="E22" s="72"/>
      <c r="F22" s="75"/>
      <c r="G22" s="72"/>
      <c r="H22" s="72"/>
      <c r="I22" s="263">
        <f>IF(AND(B21="",C21="",D21="",E21="",F21="",G21="",H21=""),((C22-B22)+(E22-D22)+(G22-F22)-H22),IF(('Static Data'!$B$3-(MAX(C21,B21,E21,D21,G21,F21,H21)-MIN(C22,B22,E22,D22,G22,F22,H22)))&gt;'Static Data'!$B$4,((C22-B22)+(E22-D22)+(G22-F22)-H22),IF(AND(B22="",),((C22-B22)+(E22-D22)+(G22-F22)-H22),IF(AND(B22="",C22="",D22="",E22="",F22="",G22="",H22=""),((C22-B22)+(E22-D22)+(G22-F22)-H22)," 11:00 Stunden Ruhezeit beachten"))))</f>
        <v>0</v>
      </c>
      <c r="J22" s="72"/>
      <c r="K22" s="77"/>
      <c r="L22" s="95" t="str">
        <f t="shared" si="6"/>
        <v/>
      </c>
      <c r="M22" s="264" t="str">
        <f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frei</v>
      </c>
      <c r="N22" s="147"/>
      <c r="O22" s="82">
        <f t="shared" si="1"/>
        <v>0</v>
      </c>
      <c r="P22" s="82">
        <f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si="2"/>
        <v>0</v>
      </c>
      <c r="R22" s="68" t="str">
        <f t="shared" si="4"/>
        <v/>
      </c>
      <c r="S22" s="87">
        <f t="shared" si="3"/>
        <v>0</v>
      </c>
    </row>
    <row r="23" spans="1:19" x14ac:dyDescent="0.2">
      <c r="A23" s="96">
        <f>IF(A22="","",IF(MONTH(A22+1)=MONTH(Jän!$A$10),A22+1,""))</f>
        <v>45305</v>
      </c>
      <c r="B23" s="75"/>
      <c r="C23" s="75"/>
      <c r="D23" s="72"/>
      <c r="E23" s="72"/>
      <c r="F23" s="75"/>
      <c r="G23" s="72"/>
      <c r="H23" s="72"/>
      <c r="I23" s="263">
        <f>IF(AND(B22="",C22="",D22="",E22="",F22="",G22="",H22=""),((C23-B23)+(E23-D23)+(G23-F23)-H23),IF(('Static Data'!$B$3-(MAX(C22,B22,E22,D22,G22,F22,H22)-MIN(C23,B23,E23,D23,G23,F23,H23)))&gt;'Static Data'!$B$4,((C23-B23)+(E23-D23)+(G23-F23)-H23),IF(AND(B23="",),((C23-B23)+(E23-D23)+(G23-F23)-H23),IF(AND(B23="",C23="",D23="",E23="",F23="",G23="",H23=""),((C23-B23)+(E23-D23)+(G23-F23)-H23)," 11:00 Stunden Ruhezeit beachten"))))</f>
        <v>0</v>
      </c>
      <c r="J23" s="72"/>
      <c r="K23" s="77"/>
      <c r="L23" s="95">
        <f t="shared" si="6"/>
        <v>0</v>
      </c>
      <c r="M23" s="264" t="str">
        <f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frei</v>
      </c>
      <c r="N23" s="147"/>
      <c r="O23" s="82">
        <f t="shared" si="1"/>
        <v>0</v>
      </c>
      <c r="P23" s="82">
        <f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si="2"/>
        <v>0</v>
      </c>
      <c r="R23" s="68" t="str">
        <f t="shared" si="4"/>
        <v/>
      </c>
      <c r="S23" s="87">
        <f t="shared" si="3"/>
        <v>0</v>
      </c>
    </row>
    <row r="24" spans="1:19" x14ac:dyDescent="0.2">
      <c r="A24" s="96">
        <f>IF(A23="","",IF(MONTH(A23+1)=MONTH(Jän!$A$10),A23+1,""))</f>
        <v>45306</v>
      </c>
      <c r="B24" s="75"/>
      <c r="C24" s="75"/>
      <c r="D24" s="5"/>
      <c r="E24" s="5"/>
      <c r="F24" s="75"/>
      <c r="G24" s="72"/>
      <c r="H24" s="72"/>
      <c r="I24" s="263">
        <f>IF(AND(B23="",C23="",D23="",E23="",F23="",G23="",H23=""),((C24-B24)+(E24-D24)+(G24-F24)-H24),IF(('Static Data'!$B$3-(MAX(C23,B23,E23,D23,G23,F23,H23)-MIN(C24,B24,E24,D24,G24,F24,H24)))&gt;'Static Data'!$B$4,((C24-B24)+(E24-D24)+(G24-F24)-H24),IF(AND(B24="",),((C24-B24)+(E24-D24)+(G24-F24)-H24),IF(AND(B24="",C24="",D24="",E24="",F24="",G24="",H24=""),((C24-B24)+(E24-D24)+(G24-F24)-H24)," 11:00 Stunden Ruhezeit beachten"))))</f>
        <v>0</v>
      </c>
      <c r="J24" s="72"/>
      <c r="K24" s="77"/>
      <c r="L24" s="95" t="str">
        <f t="shared" si="6"/>
        <v/>
      </c>
      <c r="M24" s="264" t="str">
        <f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Mo</v>
      </c>
      <c r="N24" s="147"/>
      <c r="O24" s="82">
        <f t="shared" si="1"/>
        <v>0</v>
      </c>
      <c r="P24" s="82">
        <f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si="2"/>
        <v>0</v>
      </c>
      <c r="R24" s="68" t="str">
        <f t="shared" si="4"/>
        <v/>
      </c>
      <c r="S24" s="87">
        <f t="shared" si="3"/>
        <v>0</v>
      </c>
    </row>
    <row r="25" spans="1:19" x14ac:dyDescent="0.2">
      <c r="A25" s="96">
        <f>IF(A24="","",IF(MONTH(A24+1)=MONTH(Jän!$A$10),A24+1,""))</f>
        <v>45307</v>
      </c>
      <c r="B25" s="75"/>
      <c r="C25" s="75"/>
      <c r="D25" s="72"/>
      <c r="E25" s="72"/>
      <c r="F25" s="75"/>
      <c r="G25" s="72"/>
      <c r="H25" s="72"/>
      <c r="I25" s="263">
        <f>IF(AND(B24="",C24="",D24="",E24="",F24="",G24="",H24=""),((C25-B25)+(E25-D25)+(G25-F25)-H25),IF(('Static Data'!$B$3-(MAX(C24,B24,E24,D24,G24,F24,H24)-MIN(C25,B25,E25,D25,G25,F25,H25)))&gt;'Static Data'!$B$4,((C25-B25)+(E25-D25)+(G25-F25)-H25),IF(AND(B25="",),((C25-B25)+(E25-D25)+(G25-F25)-H25),IF(AND(B25="",C25="",D25="",E25="",F25="",G25="",H25=""),((C25-B25)+(E25-D25)+(G25-F25)-H25)," 11:00 Stunden Ruhezeit beachten"))))</f>
        <v>0</v>
      </c>
      <c r="J25" s="72"/>
      <c r="K25" s="77"/>
      <c r="L25" s="95" t="str">
        <f t="shared" si="6"/>
        <v/>
      </c>
      <c r="M25" s="264" t="str">
        <f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Di</v>
      </c>
      <c r="N25" s="147"/>
      <c r="O25" s="82">
        <f t="shared" si="1"/>
        <v>0</v>
      </c>
      <c r="P25" s="82">
        <f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si="2"/>
        <v>0</v>
      </c>
      <c r="R25" s="68" t="str">
        <f t="shared" si="4"/>
        <v/>
      </c>
      <c r="S25" s="87">
        <f t="shared" si="3"/>
        <v>0</v>
      </c>
    </row>
    <row r="26" spans="1:19" x14ac:dyDescent="0.2">
      <c r="A26" s="96">
        <f>IF(A25="","",IF(MONTH(A25+1)=MONTH(Jän!$A$10),A25+1,""))</f>
        <v>45308</v>
      </c>
      <c r="B26" s="75"/>
      <c r="C26" s="75"/>
      <c r="D26" s="72"/>
      <c r="E26" s="72"/>
      <c r="F26" s="75"/>
      <c r="G26" s="72"/>
      <c r="H26" s="72"/>
      <c r="I26" s="263">
        <f>IF(AND(B25="",C25="",D25="",E25="",F25="",G25="",H25=""),((C26-B26)+(E26-D26)+(G26-F26)-H26),IF(('Static Data'!$B$3-(MAX(C25,B25,E25,D25,G25,F25,H25)-MIN(C26,B26,E26,D26,G26,F26,H26)))&gt;'Static Data'!$B$4,((C26-B26)+(E26-D26)+(G26-F26)-H26),IF(AND(B26="",),((C26-B26)+(E26-D26)+(G26-F26)-H26),IF(AND(B26="",C26="",D26="",E26="",F26="",G26="",H26=""),((C26-B26)+(E26-D26)+(G26-F26)-H26)," 11:00 Stunden Ruhezeit beachten"))))</f>
        <v>0</v>
      </c>
      <c r="J26" s="72"/>
      <c r="K26" s="77"/>
      <c r="L26" s="95" t="str">
        <f t="shared" si="6"/>
        <v/>
      </c>
      <c r="M26" s="264" t="str">
        <f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Mi</v>
      </c>
      <c r="N26" s="147"/>
      <c r="O26" s="82">
        <f t="shared" si="1"/>
        <v>0</v>
      </c>
      <c r="P26" s="82">
        <f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si="2"/>
        <v>0</v>
      </c>
      <c r="R26" s="68" t="str">
        <f t="shared" si="4"/>
        <v/>
      </c>
      <c r="S26" s="87">
        <f t="shared" si="3"/>
        <v>0</v>
      </c>
    </row>
    <row r="27" spans="1:19" x14ac:dyDescent="0.2">
      <c r="A27" s="96">
        <f>IF(A26="","",IF(MONTH(A26+1)=MONTH(Jän!$A$10),A26+1,""))</f>
        <v>45309</v>
      </c>
      <c r="B27" s="75"/>
      <c r="C27" s="75"/>
      <c r="D27" s="72"/>
      <c r="E27" s="72"/>
      <c r="F27" s="75"/>
      <c r="G27" s="72"/>
      <c r="H27" s="72"/>
      <c r="I27" s="263">
        <f>IF(AND(B26="",C26="",D26="",E26="",F26="",G26="",H26=""),((C27-B27)+(E27-D27)+(G27-F27)-H27),IF(('Static Data'!$B$3-(MAX(C26,B26,E26,D26,G26,F26,H26)-MIN(C27,B27,E27,D27,G27,F27,H27)))&gt;'Static Data'!$B$4,((C27-B27)+(E27-D27)+(G27-F27)-H27),IF(AND(B27="",),((C27-B27)+(E27-D27)+(G27-F27)-H27),IF(AND(B27="",C27="",D27="",E27="",F27="",G27="",H27=""),((C27-B27)+(E27-D27)+(G27-F27)-H27)," 11:00 Stunden Ruhezeit beachten"))))</f>
        <v>0</v>
      </c>
      <c r="J27" s="72"/>
      <c r="K27" s="77"/>
      <c r="L27" s="95" t="str">
        <f t="shared" si="6"/>
        <v/>
      </c>
      <c r="M27" s="264" t="str">
        <f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Do</v>
      </c>
      <c r="N27" s="147"/>
      <c r="O27" s="82">
        <f t="shared" si="1"/>
        <v>0</v>
      </c>
      <c r="P27" s="82">
        <f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si="2"/>
        <v>0</v>
      </c>
      <c r="R27" s="68" t="str">
        <f t="shared" si="4"/>
        <v/>
      </c>
      <c r="S27" s="87">
        <f t="shared" si="3"/>
        <v>0</v>
      </c>
    </row>
    <row r="28" spans="1:19" x14ac:dyDescent="0.2">
      <c r="A28" s="96">
        <f>IF(A27="","",IF(MONTH(A27+1)=MONTH(Jän!$A$10),A27+1,""))</f>
        <v>45310</v>
      </c>
      <c r="B28" s="75"/>
      <c r="C28" s="75"/>
      <c r="D28" s="72"/>
      <c r="E28" s="72"/>
      <c r="F28" s="75"/>
      <c r="G28" s="72"/>
      <c r="H28" s="72"/>
      <c r="I28" s="263">
        <f>IF(AND(B27="",C27="",D27="",E27="",F27="",G27="",H27=""),((C28-B28)+(E28-D28)+(G28-F28)-H28),IF(('Static Data'!$B$3-(MAX(C27,B27,E27,D27,G27,F27,H27)-MIN(C28,B28,E28,D28,G28,F28,H28)))&gt;'Static Data'!$B$4,((C28-B28)+(E28-D28)+(G28-F28)-H28),IF(AND(B28="",),((C28-B28)+(E28-D28)+(G28-F28)-H28),IF(AND(B28="",C28="",D28="",E28="",F28="",G28="",H28=""),((C28-B28)+(E28-D28)+(G28-F28)-H28)," 11:00 Stunden Ruhezeit beachten"))))</f>
        <v>0</v>
      </c>
      <c r="J28" s="72"/>
      <c r="K28" s="77"/>
      <c r="L28" s="95" t="str">
        <f t="shared" si="6"/>
        <v/>
      </c>
      <c r="M28" s="264" t="str">
        <f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Fr</v>
      </c>
      <c r="N28" s="147"/>
      <c r="O28" s="82">
        <f t="shared" si="1"/>
        <v>0</v>
      </c>
      <c r="P28" s="82">
        <f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si="2"/>
        <v>0</v>
      </c>
      <c r="R28" s="68" t="str">
        <f t="shared" si="4"/>
        <v/>
      </c>
      <c r="S28" s="87">
        <f t="shared" si="3"/>
        <v>0</v>
      </c>
    </row>
    <row r="29" spans="1:19" x14ac:dyDescent="0.2">
      <c r="A29" s="96">
        <f>IF(A28="","",IF(MONTH(A28+1)=MONTH(Jän!$A$10),A28+1,""))</f>
        <v>45311</v>
      </c>
      <c r="B29" s="75"/>
      <c r="C29" s="75"/>
      <c r="D29" s="72"/>
      <c r="E29" s="72"/>
      <c r="F29" s="75"/>
      <c r="G29" s="72"/>
      <c r="H29" s="72"/>
      <c r="I29" s="263">
        <f>IF(AND(B28="",C28="",D28="",E28="",F28="",G28="",H28=""),((C29-B29)+(E29-D29)+(G29-F29)-H29),IF(('Static Data'!$B$3-(MAX(C28,B28,E28,D28,G28,F28,H28)-MIN(C29,B29,E29,D29,G29,F29,H29)))&gt;'Static Data'!$B$4,((C29-B29)+(E29-D29)+(G29-F29)-H29),IF(AND(B29="",),((C29-B29)+(E29-D29)+(G29-F29)-H29),IF(AND(B29="",C29="",D29="",E29="",F29="",G29="",H29=""),((C29-B29)+(E29-D29)+(G29-F29)-H29)," 11:00 Stunden Ruhezeit beachten"))))</f>
        <v>0</v>
      </c>
      <c r="J29" s="72"/>
      <c r="K29" s="77"/>
      <c r="L29" s="95" t="str">
        <f t="shared" si="6"/>
        <v/>
      </c>
      <c r="M29" s="264" t="str">
        <f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frei</v>
      </c>
      <c r="N29" s="147"/>
      <c r="O29" s="82">
        <f t="shared" si="1"/>
        <v>0</v>
      </c>
      <c r="P29" s="82">
        <f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si="2"/>
        <v>0</v>
      </c>
      <c r="R29" s="68" t="str">
        <f t="shared" si="4"/>
        <v/>
      </c>
      <c r="S29" s="87">
        <f t="shared" si="3"/>
        <v>0</v>
      </c>
    </row>
    <row r="30" spans="1:19" x14ac:dyDescent="0.2">
      <c r="A30" s="96">
        <f>IF(A29="","",IF(MONTH(A29+1)=MONTH(Jän!$A$10),A29+1,""))</f>
        <v>45312</v>
      </c>
      <c r="B30" s="4"/>
      <c r="C30" s="75"/>
      <c r="D30" s="72"/>
      <c r="E30" s="72"/>
      <c r="F30" s="75"/>
      <c r="G30" s="72"/>
      <c r="H30" s="72"/>
      <c r="I30" s="263">
        <f>IF(AND(B29="",C29="",D29="",E29="",F29="",G29="",H29=""),((C30-B30)+(E30-D30)+(G30-F30)-H30),IF(('Static Data'!$B$3-(MAX(C29,B29,E29,D29,G29,F29,H29)-MIN(C30,B30,E30,D30,G30,F30,H30)))&gt;'Static Data'!$B$4,((C30-B30)+(E30-D30)+(G30-F30)-H30),IF(AND(B30="",),((C30-B30)+(E30-D30)+(G30-F30)-H30),IF(AND(B30="",C30="",D30="",E30="",F30="",G30="",H30=""),((C30-B30)+(E30-D30)+(G30-F30)-H30)," 11:00 Stunden Ruhezeit beachten"))))</f>
        <v>0</v>
      </c>
      <c r="J30" s="72"/>
      <c r="K30" s="77"/>
      <c r="L30" s="95">
        <f t="shared" si="6"/>
        <v>0</v>
      </c>
      <c r="M30" s="264" t="str">
        <f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frei</v>
      </c>
      <c r="N30" s="147"/>
      <c r="O30" s="82">
        <f t="shared" si="1"/>
        <v>0</v>
      </c>
      <c r="P30" s="82">
        <f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si="2"/>
        <v>0</v>
      </c>
      <c r="R30" s="68" t="str">
        <f t="shared" si="4"/>
        <v/>
      </c>
      <c r="S30" s="87">
        <f t="shared" si="3"/>
        <v>0</v>
      </c>
    </row>
    <row r="31" spans="1:19" x14ac:dyDescent="0.2">
      <c r="A31" s="96">
        <f>IF(A30="","",IF(MONTH(A30+1)=MONTH(Jän!$A$10),A30+1,""))</f>
        <v>45313</v>
      </c>
      <c r="B31" s="75"/>
      <c r="C31" s="75"/>
      <c r="D31" s="72"/>
      <c r="E31" s="72"/>
      <c r="F31" s="75"/>
      <c r="G31" s="72"/>
      <c r="H31" s="72"/>
      <c r="I31" s="263">
        <f>IF(AND(B30="",C30="",D30="",E30="",F30="",G30="",H30=""),((C31-B31)+(E31-D31)+(G31-F31)-H31),IF(('Static Data'!$B$3-(MAX(C30,B30,E30,D30,G30,F30,H30)-MIN(C31,B31,E31,D31,G31,F31,H31)))&gt;'Static Data'!$B$4,((C31-B31)+(E31-D31)+(G31-F31)-H31),IF(AND(B31="",),((C31-B31)+(E31-D31)+(G31-F31)-H31),IF(AND(B31="",C31="",D31="",E31="",F31="",G31="",H31=""),((C31-B31)+(E31-D31)+(G31-F31)-H31)," 11:00 Stunden Ruhezeit beachten"))))</f>
        <v>0</v>
      </c>
      <c r="J31" s="72"/>
      <c r="K31" s="77"/>
      <c r="L31" s="95" t="str">
        <f t="shared" si="6"/>
        <v/>
      </c>
      <c r="M31" s="264" t="str">
        <f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Mo</v>
      </c>
      <c r="N31" s="147"/>
      <c r="O31" s="82">
        <f t="shared" si="1"/>
        <v>0</v>
      </c>
      <c r="P31" s="82">
        <f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si="2"/>
        <v>0</v>
      </c>
      <c r="R31" s="68" t="str">
        <f t="shared" si="4"/>
        <v/>
      </c>
      <c r="S31" s="87">
        <f t="shared" si="3"/>
        <v>0</v>
      </c>
    </row>
    <row r="32" spans="1:19" x14ac:dyDescent="0.2">
      <c r="A32" s="96">
        <f>IF(A31="","",IF(MONTH(A31+1)=MONTH(Jän!$A$10),A31+1,""))</f>
        <v>45314</v>
      </c>
      <c r="B32" s="75"/>
      <c r="C32" s="75"/>
      <c r="D32" s="72"/>
      <c r="E32" s="72"/>
      <c r="F32" s="75"/>
      <c r="G32" s="72"/>
      <c r="H32" s="72"/>
      <c r="I32" s="263">
        <f>IF(AND(B31="",C31="",D31="",E31="",F31="",G31="",H31=""),((C32-B32)+(E32-D32)+(G32-F32)-H32),IF(('Static Data'!$B$3-(MAX(C31,B31,E31,D31,G31,F31,H31)-MIN(C32,B32,E32,D32,G32,F32,H32)))&gt;'Static Data'!$B$4,((C32-B32)+(E32-D32)+(G32-F32)-H32),IF(AND(B32="",),((C32-B32)+(E32-D32)+(G32-F32)-H32),IF(AND(B32="",C32="",D32="",E32="",F32="",G32="",H32=""),((C32-B32)+(E32-D32)+(G32-F32)-H32)," 11:00 Stunden Ruhezeit beachten"))))</f>
        <v>0</v>
      </c>
      <c r="J32" s="72"/>
      <c r="K32" s="77"/>
      <c r="L32" s="95" t="str">
        <f t="shared" si="6"/>
        <v/>
      </c>
      <c r="M32" s="264" t="str">
        <f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Di</v>
      </c>
      <c r="N32" s="147"/>
      <c r="O32" s="82">
        <f t="shared" si="1"/>
        <v>0</v>
      </c>
      <c r="P32" s="82">
        <f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si="2"/>
        <v>0</v>
      </c>
      <c r="R32" s="68" t="str">
        <f t="shared" si="4"/>
        <v/>
      </c>
      <c r="S32" s="87">
        <f t="shared" si="3"/>
        <v>0</v>
      </c>
    </row>
    <row r="33" spans="1:19" x14ac:dyDescent="0.2">
      <c r="A33" s="96">
        <f>IF(A32="","",IF(MONTH(A32+1)=MONTH(Jän!$A$10),A32+1,""))</f>
        <v>45315</v>
      </c>
      <c r="B33" s="75"/>
      <c r="C33" s="75"/>
      <c r="D33" s="72"/>
      <c r="E33" s="72"/>
      <c r="F33" s="75"/>
      <c r="G33" s="72"/>
      <c r="H33" s="72"/>
      <c r="I33" s="263">
        <f>IF(AND(B32="",C32="",D32="",E32="",F32="",G32="",H32=""),((C33-B33)+(E33-D33)+(G33-F33)-H33),IF(('Static Data'!$B$3-(MAX(C32,B32,E32,D32,G32,F32,H32)-MIN(C33,B33,E33,D33,G33,F33,H33)))&gt;'Static Data'!$B$4,((C33-B33)+(E33-D33)+(G33-F33)-H33),IF(AND(B33="",),((C33-B33)+(E33-D33)+(G33-F33)-H33),IF(AND(B33="",C33="",D33="",E33="",F33="",G33="",H33=""),((C33-B33)+(E33-D33)+(G33-F33)-H33)," 11:00 Stunden Ruhezeit beachten"))))</f>
        <v>0</v>
      </c>
      <c r="J33" s="72"/>
      <c r="K33" s="77"/>
      <c r="L33" s="95" t="str">
        <f t="shared" si="6"/>
        <v/>
      </c>
      <c r="M33" s="264" t="str">
        <f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Mi</v>
      </c>
      <c r="N33" s="147"/>
      <c r="O33" s="82">
        <f t="shared" si="1"/>
        <v>0</v>
      </c>
      <c r="P33" s="82">
        <f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si="2"/>
        <v>0</v>
      </c>
      <c r="R33" s="68" t="str">
        <f t="shared" si="4"/>
        <v/>
      </c>
      <c r="S33" s="87">
        <f t="shared" si="3"/>
        <v>0</v>
      </c>
    </row>
    <row r="34" spans="1:19" x14ac:dyDescent="0.2">
      <c r="A34" s="96">
        <f>IF(A33="","",IF(MONTH(A33+1)=MONTH(Jän!$A$10),A33+1,""))</f>
        <v>45316</v>
      </c>
      <c r="B34" s="75"/>
      <c r="C34" s="75"/>
      <c r="D34" s="72"/>
      <c r="E34" s="72"/>
      <c r="F34" s="75"/>
      <c r="G34" s="72"/>
      <c r="H34" s="72"/>
      <c r="I34" s="263">
        <f>IF(AND(B33="",C33="",D33="",E33="",F33="",G33="",H33=""),((C34-B34)+(E34-D34)+(G34-F34)-H34),IF(('Static Data'!$B$3-(MAX(C33,B33,E33,D33,G33,F33,H33)-MIN(C34,B34,E34,D34,G34,F34,H34)))&gt;'Static Data'!$B$4,((C34-B34)+(E34-D34)+(G34-F34)-H34),IF(AND(B34="",),((C34-B34)+(E34-D34)+(G34-F34)-H34),IF(AND(B34="",C34="",D34="",E34="",F34="",G34="",H34=""),((C34-B34)+(E34-D34)+(G34-F34)-H34)," 11:00 Stunden Ruhezeit beachten"))))</f>
        <v>0</v>
      </c>
      <c r="J34" s="72"/>
      <c r="K34" s="77"/>
      <c r="L34" s="95" t="str">
        <f t="shared" si="6"/>
        <v/>
      </c>
      <c r="M34" s="264" t="str">
        <f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Do</v>
      </c>
      <c r="N34" s="147"/>
      <c r="O34" s="82">
        <f t="shared" si="1"/>
        <v>0</v>
      </c>
      <c r="P34" s="82">
        <f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si="2"/>
        <v>0</v>
      </c>
      <c r="R34" s="68" t="str">
        <f t="shared" si="4"/>
        <v/>
      </c>
      <c r="S34" s="87">
        <f t="shared" si="3"/>
        <v>0</v>
      </c>
    </row>
    <row r="35" spans="1:19" x14ac:dyDescent="0.2">
      <c r="A35" s="96">
        <f>IF(A34="","",IF(MONTH(A34+1)=MONTH(Jän!$A$10),A34+1,""))</f>
        <v>45317</v>
      </c>
      <c r="B35" s="75"/>
      <c r="C35" s="75"/>
      <c r="D35" s="72"/>
      <c r="E35" s="72"/>
      <c r="F35" s="75"/>
      <c r="G35" s="72"/>
      <c r="H35" s="72"/>
      <c r="I35" s="263">
        <f>IF(AND(B34="",C34="",D34="",E34="",F34="",G34="",H34=""),((C35-B35)+(E35-D35)+(G35-F35)-H35),IF(('Static Data'!$B$3-(MAX(C34,B34,E34,D34,G34,F34,H34)-MIN(C35,B35,E35,D35,G35,F35,H35)))&gt;'Static Data'!$B$4,((C35-B35)+(E35-D35)+(G35-F35)-H35),IF(AND(B35="",),((C35-B35)+(E35-D35)+(G35-F35)-H35),IF(AND(B35="",C35="",D35="",E35="",F35="",G35="",H35=""),((C35-B35)+(E35-D35)+(G35-F35)-H35)," 11:00 Stunden Ruhezeit beachten"))))</f>
        <v>0</v>
      </c>
      <c r="J35" s="72"/>
      <c r="K35" s="77"/>
      <c r="L35" s="95" t="str">
        <f t="shared" si="6"/>
        <v/>
      </c>
      <c r="M35" s="264" t="str">
        <f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Fr</v>
      </c>
      <c r="N35" s="147"/>
      <c r="O35" s="82">
        <f t="shared" si="1"/>
        <v>0</v>
      </c>
      <c r="P35" s="82">
        <f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si="2"/>
        <v>0</v>
      </c>
      <c r="R35" s="68" t="str">
        <f t="shared" si="4"/>
        <v/>
      </c>
      <c r="S35" s="87">
        <f t="shared" si="3"/>
        <v>0</v>
      </c>
    </row>
    <row r="36" spans="1:19" x14ac:dyDescent="0.2">
      <c r="A36" s="96">
        <f>IF(A35="","",IF(MONTH(A35+1)=MONTH(Jän!$A$10),A35+1,""))</f>
        <v>45318</v>
      </c>
      <c r="B36" s="75"/>
      <c r="C36" s="75"/>
      <c r="D36" s="72"/>
      <c r="E36" s="72"/>
      <c r="F36" s="75"/>
      <c r="G36" s="72"/>
      <c r="H36" s="72"/>
      <c r="I36" s="263">
        <f>IF(AND(B35="",C35="",D35="",E35="",F35="",G35="",H35=""),((C36-B36)+(E36-D36)+(G36-F36)-H36),IF(('Static Data'!$B$3-(MAX(C35,B35,E35,D35,G35,F35,H35)-MIN(C36,B36,E36,D36,G36,F36,H36)))&gt;'Static Data'!$B$4,((C36-B36)+(E36-D36)+(G36-F36)-H36),IF(AND(B36="",),((C36-B36)+(E36-D36)+(G36-F36)-H36),IF(AND(B36="",C36="",D36="",E36="",F36="",G36="",H36=""),((C36-B36)+(E36-D36)+(G36-F36)-H36)," 11:00 Stunden Ruhezeit beachten"))))</f>
        <v>0</v>
      </c>
      <c r="J36" s="72"/>
      <c r="K36" s="77"/>
      <c r="L36" s="95" t="str">
        <f t="shared" si="6"/>
        <v/>
      </c>
      <c r="M36" s="264" t="str">
        <f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frei</v>
      </c>
      <c r="N36" s="147"/>
      <c r="O36" s="82">
        <f t="shared" si="1"/>
        <v>0</v>
      </c>
      <c r="P36" s="82">
        <f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si="2"/>
        <v>0</v>
      </c>
      <c r="R36" s="68" t="str">
        <f t="shared" si="4"/>
        <v/>
      </c>
      <c r="S36" s="87">
        <f t="shared" si="3"/>
        <v>0</v>
      </c>
    </row>
    <row r="37" spans="1:19" x14ac:dyDescent="0.2">
      <c r="A37" s="96">
        <f>IF(A36="","",IF(MONTH(A36+1)=MONTH(Jän!$A$10),A36+1,""))</f>
        <v>45319</v>
      </c>
      <c r="B37" s="4"/>
      <c r="C37" s="75"/>
      <c r="D37" s="72"/>
      <c r="E37" s="72"/>
      <c r="F37" s="75"/>
      <c r="G37" s="72"/>
      <c r="H37" s="72"/>
      <c r="I37" s="263">
        <f>IF(AND(B36="",C36="",D36="",E36="",F36="",G36="",H36=""),((C37-B37)+(E37-D37)+(G37-F37)-H37),IF(('Static Data'!$B$3-(MAX(C36,B36,E36,D36,G36,F36,H36)-MIN(C37,B37,E37,D37,G37,F37,H37)))&gt;'Static Data'!$B$4,((C37-B37)+(E37-D37)+(G37-F37)-H37),IF(AND(B37="",),((C37-B37)+(E37-D37)+(G37-F37)-H37),IF(AND(B37="",C37="",D37="",E37="",F37="",G37="",H37=""),((C37-B37)+(E37-D37)+(G37-F37)-H37)," 11:00 Stunden Ruhezeit beachten"))))</f>
        <v>0</v>
      </c>
      <c r="J37" s="72"/>
      <c r="K37" s="77"/>
      <c r="L37" s="95">
        <f t="shared" si="6"/>
        <v>0</v>
      </c>
      <c r="M37" s="264" t="str">
        <f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frei</v>
      </c>
      <c r="N37" s="147"/>
      <c r="O37" s="82">
        <f t="shared" si="1"/>
        <v>0</v>
      </c>
      <c r="P37" s="82">
        <f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si="2"/>
        <v>0</v>
      </c>
      <c r="R37" s="68" t="str">
        <f t="shared" si="4"/>
        <v/>
      </c>
      <c r="S37" s="87">
        <f t="shared" si="3"/>
        <v>0</v>
      </c>
    </row>
    <row r="38" spans="1:19" x14ac:dyDescent="0.2">
      <c r="A38" s="96">
        <f>IF(A37="","",IF(MONTH(A37+1)=MONTH(Jän!$A$10),A37+1,""))</f>
        <v>45320</v>
      </c>
      <c r="B38" s="4"/>
      <c r="C38" s="75"/>
      <c r="D38" s="72"/>
      <c r="E38" s="72"/>
      <c r="F38" s="75"/>
      <c r="G38" s="72"/>
      <c r="H38" s="72"/>
      <c r="I38" s="263">
        <f>IF(AND(B37="",C37="",D37="",E37="",F37="",G37="",H37=""),((C38-B38)+(E38-D38)+(G38-F38)-H38),IF(('Static Data'!$B$3-(MAX(C37,B37,E37,D37,G37,F37,H37)-MIN(C38,B38,E38,D38,G38,F38,H38)))&gt;'Static Data'!$B$4,((C38-B38)+(E38-D38)+(G38-F38)-H38),IF(AND(B38="",),((C38-B38)+(E38-D38)+(G38-F38)-H38),IF(AND(B38="",C38="",D38="",E38="",F38="",G38="",H38=""),((C38-B38)+(E38-D38)+(G38-F38)-H38)," 11:00 Stunden Ruhezeit beachten"))))</f>
        <v>0</v>
      </c>
      <c r="J38" s="72"/>
      <c r="K38" s="77"/>
      <c r="L38" s="95" t="str">
        <f t="shared" si="6"/>
        <v/>
      </c>
      <c r="M38" s="264" t="str">
        <f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Mo</v>
      </c>
      <c r="N38" s="147"/>
      <c r="O38" s="82">
        <f t="shared" si="1"/>
        <v>0</v>
      </c>
      <c r="P38" s="82">
        <f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si="2"/>
        <v>0</v>
      </c>
      <c r="R38" s="68" t="str">
        <f t="shared" si="4"/>
        <v/>
      </c>
      <c r="S38" s="87">
        <f t="shared" si="3"/>
        <v>0</v>
      </c>
    </row>
    <row r="39" spans="1:19" x14ac:dyDescent="0.2">
      <c r="A39" s="96">
        <f>IF(A38="","",IF(MONTH(A38+1)=MONTH(Jän!$A$10),A38+1,""))</f>
        <v>45321</v>
      </c>
      <c r="B39" s="75"/>
      <c r="C39" s="75"/>
      <c r="D39" s="72"/>
      <c r="E39" s="72"/>
      <c r="F39" s="75"/>
      <c r="G39" s="76"/>
      <c r="H39" s="72"/>
      <c r="I39" s="263">
        <f>IF(AND(B38="",C38="",D38="",E38="",F38="",G38="",H38=""),((C39-B39)+(E39-D39)+(G39-F39)-H39),IF(('Static Data'!$B$3-(MAX(C38,B38,E38,D38,G38,F38,H38)-MIN(C39,B39,E39,D39,G39,F39,H39)))&gt;'Static Data'!$B$4,((C39-B39)+(E39-D39)+(G39-F39)-H39),IF(AND(B39="",),((C39-B39)+(E39-D39)+(G39-F39)-H39),IF(AND(B39="",C39="",D39="",E39="",F39="",G39="",H39=""),((C39-B39)+(E39-D39)+(G39-F39)-H39)," 11:00 Stunden Ruhezeit beachten"))))</f>
        <v>0</v>
      </c>
      <c r="J39" s="72"/>
      <c r="K39" s="77"/>
      <c r="L39" s="95" t="str">
        <f t="shared" si="6"/>
        <v/>
      </c>
      <c r="M39" s="264" t="str">
        <f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Di</v>
      </c>
      <c r="N39" s="147"/>
      <c r="O39" s="82">
        <f t="shared" si="1"/>
        <v>0</v>
      </c>
      <c r="P39" s="82">
        <f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si="2"/>
        <v>0</v>
      </c>
      <c r="R39" s="68" t="str">
        <f t="shared" si="4"/>
        <v/>
      </c>
      <c r="S39" s="87">
        <f t="shared" si="3"/>
        <v>0</v>
      </c>
    </row>
    <row r="40" spans="1:19" x14ac:dyDescent="0.2">
      <c r="A40" s="96">
        <f>IF(A39="","",IF(MONTH(A39+1)=MONTH(Jän!$A$10),A39+1,""))</f>
        <v>45322</v>
      </c>
      <c r="B40" s="75"/>
      <c r="C40" s="75"/>
      <c r="D40" s="76"/>
      <c r="E40" s="76"/>
      <c r="F40" s="137"/>
      <c r="G40" s="76"/>
      <c r="H40" s="76"/>
      <c r="I40" s="277">
        <f>IF(AND(B39="",C39="",D39="",E39="",F39="",G39="",H39=""),((C40-B40)+(E40-D40)+(G40-F40)-H40),IF(('Static Data'!$B$3-(MAX(C39,B39,E39,D39,G39,F39,H39)-MIN(C40,B40,E40,D40,G40,F40,H40)))&gt;'Static Data'!$B$4,((C40-B40)+(E40-D40)+(G40-F40)-H40),IF(AND(B40="",),((C40-B40)+(E40-D40)+(G40-F40)-H40),IF(AND(B40="",C40="",D40="",E40="",F40="",G40="",H40=""),((C40-B40)+(E40-D40)+(G40-F40)-H40)," 11:00 Stunden Ruhezeit beachten"))))</f>
        <v>0</v>
      </c>
      <c r="J40" s="76"/>
      <c r="K40" s="77"/>
      <c r="L40" s="95" t="str">
        <f t="shared" si="6"/>
        <v/>
      </c>
      <c r="M40" s="264" t="str">
        <f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Mi</v>
      </c>
      <c r="N40" s="147"/>
      <c r="O40" s="82">
        <f t="shared" si="1"/>
        <v>0</v>
      </c>
      <c r="P40" s="82">
        <f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si="2"/>
        <v>0</v>
      </c>
      <c r="R40" s="68" t="str">
        <f t="shared" si="4"/>
        <v/>
      </c>
      <c r="S40" s="87">
        <f t="shared" si="3"/>
        <v>0</v>
      </c>
    </row>
    <row r="41" spans="1:19" ht="4.5" customHeight="1" x14ac:dyDescent="0.2">
      <c r="A41" s="302"/>
      <c r="B41" s="273"/>
      <c r="C41" s="274"/>
      <c r="D41" s="275"/>
      <c r="E41" s="275"/>
      <c r="F41" s="276"/>
      <c r="G41" s="276"/>
      <c r="H41" s="275"/>
      <c r="I41" s="283"/>
      <c r="J41" s="275"/>
      <c r="K41" s="77"/>
      <c r="L41" s="293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67">
        <f>IF(OR(I43&gt;0,G5&gt;0,H5&gt;0),Start!B40,0)</f>
        <v>0</v>
      </c>
      <c r="J42" s="2"/>
      <c r="K42" s="304" t="str">
        <f>IF(L42="","","Saldo")</f>
        <v/>
      </c>
      <c r="L42" s="298" t="str">
        <f>IF(L43="","",IF(I47&gt;40,I47,0))</f>
        <v/>
      </c>
      <c r="M42" s="84"/>
      <c r="N42" s="84"/>
      <c r="O42" s="33"/>
      <c r="P42" s="33"/>
      <c r="Q42" s="65"/>
      <c r="S42" s="24"/>
    </row>
    <row r="43" spans="1:19" ht="23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67">
        <f>SUM(I10:I40)*24</f>
        <v>0</v>
      </c>
      <c r="J43" s="2"/>
      <c r="K43" s="315" t="str">
        <f>"ausbezahlte Mehr- oder Überstunden"</f>
        <v>ausbezahlte Mehr- oder Überstunden</v>
      </c>
      <c r="L43" s="299"/>
      <c r="M43" s="286"/>
      <c r="N43" s="84"/>
      <c r="O43" s="402" t="s">
        <v>141</v>
      </c>
      <c r="P43" s="402"/>
      <c r="Q43" s="402"/>
      <c r="R43" s="402"/>
      <c r="S43" s="402"/>
    </row>
    <row r="44" spans="1:19" ht="51.6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67">
        <f>(IF(OR(I43&gt;0,G5&gt;0,H5&gt;0),I5*24,0))</f>
        <v>0</v>
      </c>
      <c r="J44" s="305"/>
      <c r="K44" s="315" t="str">
        <f>IF(L43="","","Mehr- oder Überstunden die als Zeitausgleich übertragen werden")</f>
        <v/>
      </c>
      <c r="L44" s="299" t="str">
        <f>IF(L43="","",IF((L42-L43)&lt;40,0,IF(I47&gt;40,I47-L43-40,0)))</f>
        <v/>
      </c>
      <c r="M44" s="286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67">
        <f>I43-I44</f>
        <v>0</v>
      </c>
      <c r="J45" s="305"/>
      <c r="K45" s="324" t="str">
        <f>IF(L45="","","Zuschlag in Stunden")</f>
        <v/>
      </c>
      <c r="L45" s="299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4.2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67" t="s">
        <v>205</v>
      </c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7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295">
        <f>I42+I45</f>
        <v>0</v>
      </c>
      <c r="J47" s="311"/>
      <c r="K47" s="312" t="s">
        <v>45</v>
      </c>
      <c r="L47" s="296">
        <f>IF(I47=0,0,IF(L42="",I47-L43,I47-L43+L45))</f>
        <v>0</v>
      </c>
      <c r="O47" s="33"/>
      <c r="P47" s="33"/>
      <c r="Q47" s="65"/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  <c r="O48" s="33"/>
      <c r="P48" s="33"/>
      <c r="Q48" s="65"/>
      <c r="R48" s="33"/>
    </row>
    <row r="49" spans="1:18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  <c r="O49" s="33"/>
      <c r="P49" s="33"/>
      <c r="Q49" s="65"/>
      <c r="R49" s="33"/>
    </row>
    <row r="50" spans="1:18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  <c r="O50" s="33"/>
      <c r="P50" s="33"/>
      <c r="Q50" s="65"/>
      <c r="R50" s="33"/>
    </row>
    <row r="51" spans="1:18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  <c r="O51" s="33"/>
      <c r="P51" s="33"/>
      <c r="Q51" s="65"/>
      <c r="R51" s="33"/>
    </row>
    <row r="52" spans="1:18" hidden="1" x14ac:dyDescent="0.2">
      <c r="O52" s="33"/>
      <c r="P52" s="33"/>
      <c r="Q52" s="33"/>
      <c r="R52" s="33">
        <f>SUM(Q47:Q52)</f>
        <v>0</v>
      </c>
    </row>
    <row r="55" spans="1:18" x14ac:dyDescent="0.2"/>
  </sheetData>
  <sheetProtection algorithmName="SHA-512" hashValue="Wq3N2q8wZi01zrsvramAz4WDNKNrH28cdjD6pL7L17Mt8YKciVCn0GJCNrdJeBMAWNbpf9t2klYbQ+AwQtoQZQ==" saltValue="DOFlSAS+zdwaTybVW7WbYw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1:A41 L10:L39 L41">
    <cfRule type="expression" dxfId="1452" priority="830">
      <formula>WEEKDAY($A10,2)&gt;5</formula>
    </cfRule>
  </conditionalFormatting>
  <conditionalFormatting sqref="I10">
    <cfRule type="expression" dxfId="1451" priority="807">
      <formula>(G10-F10)&gt;6/24</formula>
    </cfRule>
    <cfRule type="expression" dxfId="1450" priority="808">
      <formula>(E10-D10)&gt;6/24</formula>
    </cfRule>
    <cfRule type="expression" dxfId="1449" priority="809">
      <formula>(C10-B10)&gt;6/24</formula>
    </cfRule>
    <cfRule type="expression" dxfId="1448" priority="824">
      <formula>WEEKDAY($A10,2)&gt;5</formula>
    </cfRule>
  </conditionalFormatting>
  <conditionalFormatting sqref="I10">
    <cfRule type="cellIs" dxfId="1447" priority="823" operator="greaterThan">
      <formula>0.416666666666667</formula>
    </cfRule>
  </conditionalFormatting>
  <conditionalFormatting sqref="L10:L39 L41">
    <cfRule type="cellIs" dxfId="1446" priority="818" operator="greaterThan">
      <formula>2.08333333333333</formula>
    </cfRule>
  </conditionalFormatting>
  <conditionalFormatting sqref="A10">
    <cfRule type="expression" dxfId="1445" priority="799">
      <formula>WEEKDAY($A10,2)&gt;5</formula>
    </cfRule>
  </conditionalFormatting>
  <conditionalFormatting sqref="L47">
    <cfRule type="cellIs" dxfId="1444" priority="798" operator="greaterThan">
      <formula>80</formula>
    </cfRule>
  </conditionalFormatting>
  <conditionalFormatting sqref="F11:H11 B10:H10 B12:H12">
    <cfRule type="expression" dxfId="1443" priority="795">
      <formula>WEEKDAY($A10,2)&gt;5</formula>
    </cfRule>
  </conditionalFormatting>
  <conditionalFormatting sqref="B11:E11 C12:C40 B39:C40 B12:D13 B12:C14 B24:C29 B17:C22 B31:C36">
    <cfRule type="expression" dxfId="1442" priority="794">
      <formula>WEEKDAY($A11,2)&gt;5</formula>
    </cfRule>
  </conditionalFormatting>
  <conditionalFormatting sqref="K10:K12">
    <cfRule type="expression" dxfId="1441" priority="776">
      <formula>WEEKDAY($A10,2)&gt;5</formula>
    </cfRule>
  </conditionalFormatting>
  <conditionalFormatting sqref="J10:J12">
    <cfRule type="expression" dxfId="1440" priority="774">
      <formula>WEEKDAY($A10,2)&gt;5</formula>
    </cfRule>
  </conditionalFormatting>
  <conditionalFormatting sqref="F39:H39 F41:H41">
    <cfRule type="expression" dxfId="1439" priority="767">
      <formula>WEEKDAY($A39,2)&gt;5</formula>
    </cfRule>
  </conditionalFormatting>
  <conditionalFormatting sqref="B39:E39 B41:E41">
    <cfRule type="expression" dxfId="1438" priority="766">
      <formula>WEEKDAY($A39,2)&gt;5</formula>
    </cfRule>
  </conditionalFormatting>
  <conditionalFormatting sqref="J39 J41">
    <cfRule type="expression" dxfId="1437" priority="747">
      <formula>WEEKDAY($A39,2)&gt;5</formula>
    </cfRule>
  </conditionalFormatting>
  <conditionalFormatting sqref="L10:L39 L41">
    <cfRule type="expression" dxfId="1436" priority="745">
      <formula>L10=""</formula>
    </cfRule>
  </conditionalFormatting>
  <conditionalFormatting sqref="F16:H18 F22:H26 B27:H27 F28:H33 F35:H38 B34:H34 D19:H21 B13:H15 B26:C27 B33:C35">
    <cfRule type="expression" dxfId="1435" priority="739">
      <formula>WEEKDAY($A13,2)&gt;5</formula>
    </cfRule>
  </conditionalFormatting>
  <conditionalFormatting sqref="B16:E16 D17:E18">
    <cfRule type="expression" dxfId="1434" priority="738">
      <formula>WEEKDAY($A16,2)&gt;5</formula>
    </cfRule>
  </conditionalFormatting>
  <conditionalFormatting sqref="B25:E26 D24:E24">
    <cfRule type="expression" dxfId="1433" priority="737">
      <formula>WEEKDAY($A24,2)&gt;5</formula>
    </cfRule>
  </conditionalFormatting>
  <conditionalFormatting sqref="B32:E33 D31:E31">
    <cfRule type="expression" dxfId="1432" priority="736">
      <formula>WEEKDAY($A31,2)&gt;5</formula>
    </cfRule>
  </conditionalFormatting>
  <conditionalFormatting sqref="D38:E38">
    <cfRule type="expression" dxfId="1431" priority="735">
      <formula>WEEKDAY($A38,2)&gt;5</formula>
    </cfRule>
  </conditionalFormatting>
  <conditionalFormatting sqref="D22:E22">
    <cfRule type="expression" dxfId="1430" priority="734">
      <formula>WEEKDAY($A22,2)&gt;5</formula>
    </cfRule>
  </conditionalFormatting>
  <conditionalFormatting sqref="D23:E23">
    <cfRule type="expression" dxfId="1429" priority="733">
      <formula>WEEKDAY($A23,2)&gt;5</formula>
    </cfRule>
  </conditionalFormatting>
  <conditionalFormatting sqref="B24:C24">
    <cfRule type="expression" dxfId="1428" priority="732">
      <formula>WEEKDAY($A24,2)&gt;5</formula>
    </cfRule>
  </conditionalFormatting>
  <conditionalFormatting sqref="B28:E28">
    <cfRule type="expression" dxfId="1427" priority="731">
      <formula>WEEKDAY($A28,2)&gt;5</formula>
    </cfRule>
  </conditionalFormatting>
  <conditionalFormatting sqref="B29:E29">
    <cfRule type="expression" dxfId="1426" priority="730">
      <formula>WEEKDAY($A29,2)&gt;5</formula>
    </cfRule>
  </conditionalFormatting>
  <conditionalFormatting sqref="B30:E30">
    <cfRule type="expression" dxfId="1425" priority="729">
      <formula>WEEKDAY($A30,2)&gt;5</formula>
    </cfRule>
  </conditionalFormatting>
  <conditionalFormatting sqref="B31:C31">
    <cfRule type="expression" dxfId="1424" priority="728">
      <formula>WEEKDAY($A31,2)&gt;5</formula>
    </cfRule>
  </conditionalFormatting>
  <conditionalFormatting sqref="B35:E35">
    <cfRule type="expression" dxfId="1423" priority="727">
      <formula>WEEKDAY($A35,2)&gt;5</formula>
    </cfRule>
  </conditionalFormatting>
  <conditionalFormatting sqref="B36:E36">
    <cfRule type="expression" dxfId="1422" priority="726">
      <formula>WEEKDAY($A36,2)&gt;5</formula>
    </cfRule>
  </conditionalFormatting>
  <conditionalFormatting sqref="B37:E37">
    <cfRule type="expression" dxfId="1421" priority="725">
      <formula>WEEKDAY($A37,2)&gt;5</formula>
    </cfRule>
  </conditionalFormatting>
  <conditionalFormatting sqref="B38:C38">
    <cfRule type="expression" dxfId="1420" priority="724">
      <formula>WEEKDAY($A38,2)&gt;5</formula>
    </cfRule>
  </conditionalFormatting>
  <conditionalFormatting sqref="K13:K15 K26:K37">
    <cfRule type="expression" dxfId="1419" priority="723">
      <formula>WEEKDAY($A13,2)&gt;5</formula>
    </cfRule>
  </conditionalFormatting>
  <conditionalFormatting sqref="K16:K27">
    <cfRule type="expression" dxfId="1418" priority="722">
      <formula>WEEKDAY($A16,2)&gt;5</formula>
    </cfRule>
  </conditionalFormatting>
  <conditionalFormatting sqref="J13:J38">
    <cfRule type="expression" dxfId="1417" priority="721">
      <formula>WEEKDAY($A13,2)&gt;5</formula>
    </cfRule>
  </conditionalFormatting>
  <conditionalFormatting sqref="A10:K10 J41 A41:H41 A17:A23 D17:H23 C12:C40 A40:C40 J11:K37 J38:J39 K38:K41 A11:H16 B17:C22 A24:H39">
    <cfRule type="expression" dxfId="1416" priority="435">
      <formula>$M10="frei"</formula>
    </cfRule>
  </conditionalFormatting>
  <conditionalFormatting sqref="M10:M41">
    <cfRule type="expression" dxfId="1415" priority="718">
      <formula>M10="FD"</formula>
    </cfRule>
    <cfRule type="expression" dxfId="1414" priority="719">
      <formula>M10="frei"</formula>
    </cfRule>
  </conditionalFormatting>
  <conditionalFormatting sqref="I11:I39 I41">
    <cfRule type="expression" dxfId="1413" priority="712">
      <formula>$M11="frei"</formula>
    </cfRule>
    <cfRule type="expression" dxfId="1412" priority="713">
      <formula>(G11-F11)&gt;6/24</formula>
    </cfRule>
    <cfRule type="expression" dxfId="1411" priority="714">
      <formula>(E11-D11)&gt;6/24</formula>
    </cfRule>
    <cfRule type="expression" dxfId="1410" priority="715">
      <formula>(C11-B11)&gt;6/24</formula>
    </cfRule>
    <cfRule type="cellIs" dxfId="1409" priority="716" operator="greaterThan">
      <formula>0.416666666666667</formula>
    </cfRule>
    <cfRule type="expression" dxfId="1408" priority="717">
      <formula>WEEKDAY($A11,2)&gt;5</formula>
    </cfRule>
  </conditionalFormatting>
  <conditionalFormatting sqref="B16:C16">
    <cfRule type="expression" dxfId="1407" priority="720">
      <formula>WEEKDAY($A16,2)&gt;5</formula>
    </cfRule>
  </conditionalFormatting>
  <conditionalFormatting sqref="B16:C16">
    <cfRule type="expression" dxfId="1406" priority="710">
      <formula>WEEKDAY($A16,2)&gt;5</formula>
    </cfRule>
  </conditionalFormatting>
  <conditionalFormatting sqref="B15:C16">
    <cfRule type="expression" dxfId="1405" priority="709">
      <formula>WEEKDAY($A15,2)&gt;5</formula>
    </cfRule>
  </conditionalFormatting>
  <conditionalFormatting sqref="B25:C25">
    <cfRule type="expression" dxfId="1404" priority="704">
      <formula>WEEKDAY($A25,2)&gt;5</formula>
    </cfRule>
  </conditionalFormatting>
  <conditionalFormatting sqref="B24:C27">
    <cfRule type="expression" dxfId="1403" priority="703">
      <formula>WEEKDAY($A24,2)&gt;5</formula>
    </cfRule>
  </conditionalFormatting>
  <conditionalFormatting sqref="B29:C29">
    <cfRule type="expression" dxfId="1402" priority="702">
      <formula>WEEKDAY($A29,2)&gt;5</formula>
    </cfRule>
  </conditionalFormatting>
  <conditionalFormatting sqref="B28:C31">
    <cfRule type="expression" dxfId="1401" priority="701">
      <formula>WEEKDAY($A28,2)&gt;5</formula>
    </cfRule>
  </conditionalFormatting>
  <conditionalFormatting sqref="B30:C31">
    <cfRule type="expression" dxfId="1400" priority="700">
      <formula>WEEKDAY($A30,2)&gt;5</formula>
    </cfRule>
  </conditionalFormatting>
  <conditionalFormatting sqref="B33:C33">
    <cfRule type="expression" dxfId="1399" priority="699">
      <formula>WEEKDAY($A33,2)&gt;5</formula>
    </cfRule>
  </conditionalFormatting>
  <conditionalFormatting sqref="B32:C35">
    <cfRule type="expression" dxfId="1398" priority="698">
      <formula>WEEKDAY($A32,2)&gt;5</formula>
    </cfRule>
  </conditionalFormatting>
  <conditionalFormatting sqref="B37:C37">
    <cfRule type="expression" dxfId="1397" priority="697">
      <formula>WEEKDAY($A37,2)&gt;5</formula>
    </cfRule>
  </conditionalFormatting>
  <conditionalFormatting sqref="B36:C39">
    <cfRule type="expression" dxfId="1396" priority="696">
      <formula>WEEKDAY($A36,2)&gt;5</formula>
    </cfRule>
  </conditionalFormatting>
  <conditionalFormatting sqref="B38:C39">
    <cfRule type="expression" dxfId="1395" priority="695">
      <formula>WEEKDAY($A38,2)&gt;5</formula>
    </cfRule>
  </conditionalFormatting>
  <conditionalFormatting sqref="B41:C41">
    <cfRule type="expression" dxfId="1394" priority="694">
      <formula>WEEKDAY($A41,2)&gt;5</formula>
    </cfRule>
  </conditionalFormatting>
  <conditionalFormatting sqref="B41:C41">
    <cfRule type="expression" dxfId="1393" priority="693">
      <formula>WEEKDAY($A41,2)&gt;5</formula>
    </cfRule>
  </conditionalFormatting>
  <conditionalFormatting sqref="A42">
    <cfRule type="expression" dxfId="1392" priority="691">
      <formula>$M42="frei"</formula>
    </cfRule>
  </conditionalFormatting>
  <conditionalFormatting sqref="C29">
    <cfRule type="expression" dxfId="1391" priority="690">
      <formula>WEEKDAY($A29,2)&gt;5</formula>
    </cfRule>
  </conditionalFormatting>
  <conditionalFormatting sqref="C29">
    <cfRule type="expression" dxfId="1390" priority="689">
      <formula>WEEKDAY($A29,2)&gt;5</formula>
    </cfRule>
  </conditionalFormatting>
  <conditionalFormatting sqref="C29">
    <cfRule type="expression" dxfId="1389" priority="688">
      <formula>WEEKDAY($A29,2)&gt;5</formula>
    </cfRule>
  </conditionalFormatting>
  <conditionalFormatting sqref="C29">
    <cfRule type="expression" dxfId="1388" priority="687">
      <formula>WEEKDAY($A29,2)&gt;5</formula>
    </cfRule>
  </conditionalFormatting>
  <conditionalFormatting sqref="C28">
    <cfRule type="expression" dxfId="1387" priority="686">
      <formula>WEEKDAY($A28,2)&gt;5</formula>
    </cfRule>
  </conditionalFormatting>
  <conditionalFormatting sqref="C28">
    <cfRule type="expression" dxfId="1386" priority="685">
      <formula>WEEKDAY($A28,2)&gt;5</formula>
    </cfRule>
  </conditionalFormatting>
  <conditionalFormatting sqref="C24">
    <cfRule type="expression" dxfId="1385" priority="684">
      <formula>WEEKDAY($A24,2)&gt;5</formula>
    </cfRule>
  </conditionalFormatting>
  <conditionalFormatting sqref="C24">
    <cfRule type="expression" dxfId="1384" priority="683">
      <formula>WEEKDAY($A24,2)&gt;5</formula>
    </cfRule>
  </conditionalFormatting>
  <conditionalFormatting sqref="C16">
    <cfRule type="expression" dxfId="1383" priority="708">
      <formula>WEEKDAY($A16,2)&gt;5</formula>
    </cfRule>
  </conditionalFormatting>
  <conditionalFormatting sqref="C16">
    <cfRule type="expression" dxfId="1382" priority="678">
      <formula>WEEKDAY($A16,2)&gt;5</formula>
    </cfRule>
  </conditionalFormatting>
  <conditionalFormatting sqref="C15">
    <cfRule type="expression" dxfId="1381" priority="676">
      <formula>WEEKDAY($A15,2)&gt;5</formula>
    </cfRule>
  </conditionalFormatting>
  <conditionalFormatting sqref="C15">
    <cfRule type="expression" dxfId="1380" priority="675">
      <formula>WEEKDAY($A15,2)&gt;5</formula>
    </cfRule>
  </conditionalFormatting>
  <conditionalFormatting sqref="B12:C12">
    <cfRule type="expression" dxfId="1379" priority="674">
      <formula>WEEKDAY($A12,2)&gt;5</formula>
    </cfRule>
  </conditionalFormatting>
  <conditionalFormatting sqref="B12:C12">
    <cfRule type="expression" dxfId="1378" priority="673">
      <formula>WEEKDAY($A12,2)&gt;5</formula>
    </cfRule>
  </conditionalFormatting>
  <conditionalFormatting sqref="L44:L45">
    <cfRule type="expression" dxfId="1377" priority="672">
      <formula>WEEKDAY($A44,2)&gt;5</formula>
    </cfRule>
  </conditionalFormatting>
  <conditionalFormatting sqref="L44:L45">
    <cfRule type="cellIs" dxfId="1376" priority="671" operator="greaterThan">
      <formula>2.08333333333333</formula>
    </cfRule>
  </conditionalFormatting>
  <conditionalFormatting sqref="L44:L45">
    <cfRule type="expression" dxfId="1375" priority="670">
      <formula>L44=""</formula>
    </cfRule>
  </conditionalFormatting>
  <conditionalFormatting sqref="L42">
    <cfRule type="expression" dxfId="1374" priority="669">
      <formula>WEEKDAY($A42,2)&gt;5</formula>
    </cfRule>
  </conditionalFormatting>
  <conditionalFormatting sqref="L42">
    <cfRule type="cellIs" dxfId="1373" priority="668" operator="greaterThan">
      <formula>2.08333333333333</formula>
    </cfRule>
  </conditionalFormatting>
  <conditionalFormatting sqref="L42">
    <cfRule type="expression" dxfId="1372" priority="667">
      <formula>L42=""</formula>
    </cfRule>
  </conditionalFormatting>
  <conditionalFormatting sqref="F40 H40">
    <cfRule type="expression" dxfId="1371" priority="664">
      <formula>WEEKDAY($A40,2)&gt;5</formula>
    </cfRule>
  </conditionalFormatting>
  <conditionalFormatting sqref="D40:E40">
    <cfRule type="expression" dxfId="1370" priority="663">
      <formula>WEEKDAY($A40,2)&gt;5</formula>
    </cfRule>
  </conditionalFormatting>
  <conditionalFormatting sqref="J40">
    <cfRule type="expression" dxfId="1369" priority="661">
      <formula>WEEKDAY($A40,2)&gt;5</formula>
    </cfRule>
  </conditionalFormatting>
  <conditionalFormatting sqref="J40 D40:F40 H40">
    <cfRule type="expression" dxfId="1368" priority="659">
      <formula>$M40="frei"</formula>
    </cfRule>
  </conditionalFormatting>
  <conditionalFormatting sqref="I40">
    <cfRule type="expression" dxfId="1367" priority="653">
      <formula>$M40="frei"</formula>
    </cfRule>
    <cfRule type="expression" dxfId="1366" priority="654">
      <formula>(G40-F40)&gt;6/24</formula>
    </cfRule>
    <cfRule type="expression" dxfId="1365" priority="655">
      <formula>(E40-D40)&gt;6/24</formula>
    </cfRule>
    <cfRule type="expression" dxfId="1364" priority="656">
      <formula>(C40-B40)&gt;6/24</formula>
    </cfRule>
    <cfRule type="cellIs" dxfId="1363" priority="657" operator="greaterThan">
      <formula>0.416666666666667</formula>
    </cfRule>
    <cfRule type="expression" dxfId="1362" priority="658">
      <formula>WEEKDAY($A40,2)&gt;5</formula>
    </cfRule>
  </conditionalFormatting>
  <conditionalFormatting sqref="G40">
    <cfRule type="expression" dxfId="1361" priority="650">
      <formula>WEEKDAY($A40,2)&gt;5</formula>
    </cfRule>
  </conditionalFormatting>
  <conditionalFormatting sqref="G40">
    <cfRule type="expression" dxfId="1360" priority="649">
      <formula>$M40="frei"</formula>
    </cfRule>
  </conditionalFormatting>
  <conditionalFormatting sqref="L40">
    <cfRule type="expression" dxfId="1359" priority="648">
      <formula>WEEKDAY($A40,2)&gt;5</formula>
    </cfRule>
  </conditionalFormatting>
  <conditionalFormatting sqref="L40">
    <cfRule type="cellIs" dxfId="1358" priority="647" operator="greaterThan">
      <formula>2.08333333333333</formula>
    </cfRule>
  </conditionalFormatting>
  <conditionalFormatting sqref="L40">
    <cfRule type="expression" dxfId="1357" priority="646">
      <formula>L40=""</formula>
    </cfRule>
  </conditionalFormatting>
  <conditionalFormatting sqref="J43">
    <cfRule type="expression" dxfId="1356" priority="643">
      <formula>WEEKDAY($A43,2)&gt;5</formula>
    </cfRule>
  </conditionalFormatting>
  <conditionalFormatting sqref="J43">
    <cfRule type="expression" dxfId="1355" priority="642">
      <formula>$M43="frei"</formula>
    </cfRule>
  </conditionalFormatting>
  <conditionalFormatting sqref="J42 L42">
    <cfRule type="expression" dxfId="1354" priority="641">
      <formula>WEEKDAY($A42,2)&gt;5</formula>
    </cfRule>
  </conditionalFormatting>
  <conditionalFormatting sqref="J42 L42">
    <cfRule type="expression" dxfId="1353" priority="640">
      <formula>$M42="frei"</formula>
    </cfRule>
  </conditionalFormatting>
  <conditionalFormatting sqref="K42">
    <cfRule type="expression" dxfId="1352" priority="639">
      <formula>WEEKDAY($A42,2)&gt;5</formula>
    </cfRule>
  </conditionalFormatting>
  <conditionalFormatting sqref="K42">
    <cfRule type="expression" dxfId="1351" priority="638">
      <formula>$M42="frei"</formula>
    </cfRule>
  </conditionalFormatting>
  <conditionalFormatting sqref="B25:C25">
    <cfRule type="expression" dxfId="1350" priority="630">
      <formula>WEEKDAY($A25,2)&gt;5</formula>
    </cfRule>
  </conditionalFormatting>
  <conditionalFormatting sqref="B26:C26">
    <cfRule type="expression" dxfId="1349" priority="629">
      <formula>WEEKDAY($A26,2)&gt;5</formula>
    </cfRule>
  </conditionalFormatting>
  <conditionalFormatting sqref="B25:C25">
    <cfRule type="expression" dxfId="1348" priority="628">
      <formula>WEEKDAY($A25,2)&gt;5</formula>
    </cfRule>
  </conditionalFormatting>
  <conditionalFormatting sqref="B25:C26">
    <cfRule type="expression" dxfId="1347" priority="627">
      <formula>WEEKDAY($A25,2)&gt;5</formula>
    </cfRule>
  </conditionalFormatting>
  <conditionalFormatting sqref="B26:C26">
    <cfRule type="expression" dxfId="1346" priority="626">
      <formula>WEEKDAY($A26,2)&gt;5</formula>
    </cfRule>
  </conditionalFormatting>
  <conditionalFormatting sqref="C25">
    <cfRule type="expression" dxfId="1345" priority="625">
      <formula>WEEKDAY($A25,2)&gt;5</formula>
    </cfRule>
  </conditionalFormatting>
  <conditionalFormatting sqref="C25">
    <cfRule type="expression" dxfId="1344" priority="624">
      <formula>WEEKDAY($A25,2)&gt;5</formula>
    </cfRule>
  </conditionalFormatting>
  <conditionalFormatting sqref="C25">
    <cfRule type="expression" dxfId="1343" priority="623">
      <formula>WEEKDAY($A25,2)&gt;5</formula>
    </cfRule>
  </conditionalFormatting>
  <conditionalFormatting sqref="C25">
    <cfRule type="expression" dxfId="1342" priority="622">
      <formula>WEEKDAY($A25,2)&gt;5</formula>
    </cfRule>
  </conditionalFormatting>
  <conditionalFormatting sqref="C26">
    <cfRule type="expression" dxfId="1341" priority="621">
      <formula>WEEKDAY($A26,2)&gt;5</formula>
    </cfRule>
  </conditionalFormatting>
  <conditionalFormatting sqref="C26">
    <cfRule type="expression" dxfId="1340" priority="620">
      <formula>WEEKDAY($A26,2)&gt;5</formula>
    </cfRule>
  </conditionalFormatting>
  <conditionalFormatting sqref="C26">
    <cfRule type="expression" dxfId="1339" priority="619">
      <formula>WEEKDAY($A26,2)&gt;5</formula>
    </cfRule>
  </conditionalFormatting>
  <conditionalFormatting sqref="B25:C25">
    <cfRule type="expression" dxfId="1338" priority="613">
      <formula>WEEKDAY($A25,2)&gt;5</formula>
    </cfRule>
  </conditionalFormatting>
  <conditionalFormatting sqref="B26:C26">
    <cfRule type="expression" dxfId="1337" priority="612">
      <formula>WEEKDAY($A26,2)&gt;5</formula>
    </cfRule>
  </conditionalFormatting>
  <conditionalFormatting sqref="B27:C27">
    <cfRule type="expression" dxfId="1336" priority="611">
      <formula>WEEKDAY($A27,2)&gt;5</formula>
    </cfRule>
  </conditionalFormatting>
  <conditionalFormatting sqref="B28:C28">
    <cfRule type="expression" dxfId="1335" priority="610">
      <formula>WEEKDAY($A28,2)&gt;5</formula>
    </cfRule>
  </conditionalFormatting>
  <conditionalFormatting sqref="B29:C29">
    <cfRule type="expression" dxfId="1334" priority="609">
      <formula>WEEKDAY($A29,2)&gt;5</formula>
    </cfRule>
  </conditionalFormatting>
  <conditionalFormatting sqref="B32:C32">
    <cfRule type="expression" dxfId="1333" priority="608">
      <formula>WEEKDAY($A32,2)&gt;5</formula>
    </cfRule>
  </conditionalFormatting>
  <conditionalFormatting sqref="B33:C33">
    <cfRule type="expression" dxfId="1332" priority="607">
      <formula>WEEKDAY($A33,2)&gt;5</formula>
    </cfRule>
  </conditionalFormatting>
  <conditionalFormatting sqref="B34:C34">
    <cfRule type="expression" dxfId="1331" priority="606">
      <formula>WEEKDAY($A34,2)&gt;5</formula>
    </cfRule>
  </conditionalFormatting>
  <conditionalFormatting sqref="B35:C35">
    <cfRule type="expression" dxfId="1330" priority="605">
      <formula>WEEKDAY($A35,2)&gt;5</formula>
    </cfRule>
  </conditionalFormatting>
  <conditionalFormatting sqref="B36:C36">
    <cfRule type="expression" dxfId="1329" priority="604">
      <formula>WEEKDAY($A36,2)&gt;5</formula>
    </cfRule>
  </conditionalFormatting>
  <conditionalFormatting sqref="B39:C39">
    <cfRule type="expression" dxfId="1328" priority="603">
      <formula>WEEKDAY($A39,2)&gt;5</formula>
    </cfRule>
  </conditionalFormatting>
  <conditionalFormatting sqref="B40:C40">
    <cfRule type="expression" dxfId="1327" priority="602">
      <formula>WEEKDAY($A40,2)&gt;5</formula>
    </cfRule>
  </conditionalFormatting>
  <conditionalFormatting sqref="B40:C40">
    <cfRule type="expression" dxfId="1326" priority="601">
      <formula>$M40="frei"</formula>
    </cfRule>
  </conditionalFormatting>
  <conditionalFormatting sqref="C13:E13">
    <cfRule type="expression" dxfId="1325" priority="600">
      <formula>WEEKDAY($A13,2)&gt;5</formula>
    </cfRule>
  </conditionalFormatting>
  <conditionalFormatting sqref="D14:E14">
    <cfRule type="expression" dxfId="1324" priority="599">
      <formula>WEEKDAY($A14,2)&gt;5</formula>
    </cfRule>
  </conditionalFormatting>
  <conditionalFormatting sqref="D18:E18">
    <cfRule type="expression" dxfId="1323" priority="598">
      <formula>WEEKDAY($A18,2)&gt;5</formula>
    </cfRule>
  </conditionalFormatting>
  <conditionalFormatting sqref="D19:E19">
    <cfRule type="expression" dxfId="1322" priority="597">
      <formula>WEEKDAY($A19,2)&gt;5</formula>
    </cfRule>
  </conditionalFormatting>
  <conditionalFormatting sqref="D20:E20">
    <cfRule type="expression" dxfId="1321" priority="596">
      <formula>WEEKDAY($A20,2)&gt;5</formula>
    </cfRule>
  </conditionalFormatting>
  <conditionalFormatting sqref="D21:E21">
    <cfRule type="expression" dxfId="1320" priority="595">
      <formula>WEEKDAY($A21,2)&gt;5</formula>
    </cfRule>
  </conditionalFormatting>
  <conditionalFormatting sqref="D22:E22">
    <cfRule type="expression" dxfId="1319" priority="594">
      <formula>WEEKDAY($A22,2)&gt;5</formula>
    </cfRule>
  </conditionalFormatting>
  <conditionalFormatting sqref="D25:E25">
    <cfRule type="expression" dxfId="1318" priority="593">
      <formula>WEEKDAY($A25,2)&gt;5</formula>
    </cfRule>
  </conditionalFormatting>
  <conditionalFormatting sqref="D26:E26">
    <cfRule type="expression" dxfId="1317" priority="592">
      <formula>WEEKDAY($A26,2)&gt;5</formula>
    </cfRule>
  </conditionalFormatting>
  <conditionalFormatting sqref="D27:E27">
    <cfRule type="expression" dxfId="1316" priority="591">
      <formula>WEEKDAY($A27,2)&gt;5</formula>
    </cfRule>
  </conditionalFormatting>
  <conditionalFormatting sqref="D28:E28">
    <cfRule type="expression" dxfId="1315" priority="590">
      <formula>WEEKDAY($A28,2)&gt;5</formula>
    </cfRule>
  </conditionalFormatting>
  <conditionalFormatting sqref="D11:E11">
    <cfRule type="expression" dxfId="1314" priority="589">
      <formula>WEEKDAY($A11,2)&gt;5</formula>
    </cfRule>
  </conditionalFormatting>
  <conditionalFormatting sqref="E12">
    <cfRule type="expression" dxfId="1313" priority="588">
      <formula>WEEKDAY($A12,2)&gt;5</formula>
    </cfRule>
  </conditionalFormatting>
  <conditionalFormatting sqref="E12">
    <cfRule type="expression" dxfId="1312" priority="587">
      <formula>WEEKDAY($A12,2)&gt;5</formula>
    </cfRule>
  </conditionalFormatting>
  <conditionalFormatting sqref="E13:E40">
    <cfRule type="expression" dxfId="1311" priority="677">
      <formula>WEEKDAY($A13,2)&gt;5</formula>
    </cfRule>
  </conditionalFormatting>
  <conditionalFormatting sqref="E13:E40">
    <cfRule type="expression" dxfId="1310" priority="586">
      <formula>WEEKDAY($A13,2)&gt;5</formula>
    </cfRule>
  </conditionalFormatting>
  <conditionalFormatting sqref="E14">
    <cfRule type="expression" dxfId="1309" priority="584">
      <formula>WEEKDAY($A14,2)&gt;5</formula>
    </cfRule>
  </conditionalFormatting>
  <conditionalFormatting sqref="E14">
    <cfRule type="expression" dxfId="1308" priority="583">
      <formula>WEEKDAY($A14,2)&gt;5</formula>
    </cfRule>
  </conditionalFormatting>
  <conditionalFormatting sqref="E12">
    <cfRule type="expression" dxfId="1307" priority="582">
      <formula>WEEKDAY($A12,2)&gt;5</formula>
    </cfRule>
  </conditionalFormatting>
  <conditionalFormatting sqref="E12">
    <cfRule type="expression" dxfId="1306" priority="581">
      <formula>WEEKDAY($A12,2)&gt;5</formula>
    </cfRule>
  </conditionalFormatting>
  <conditionalFormatting sqref="E13:E40">
    <cfRule type="expression" dxfId="1305" priority="585">
      <formula>WEEKDAY($A13,2)&gt;5</formula>
    </cfRule>
  </conditionalFormatting>
  <conditionalFormatting sqref="E13:E40">
    <cfRule type="expression" dxfId="1304" priority="580">
      <formula>WEEKDAY($A13,2)&gt;5</formula>
    </cfRule>
  </conditionalFormatting>
  <conditionalFormatting sqref="E14">
    <cfRule type="expression" dxfId="1303" priority="578">
      <formula>WEEKDAY($A14,2)&gt;5</formula>
    </cfRule>
  </conditionalFormatting>
  <conditionalFormatting sqref="E14">
    <cfRule type="expression" dxfId="1302" priority="577">
      <formula>WEEKDAY($A14,2)&gt;5</formula>
    </cfRule>
  </conditionalFormatting>
  <conditionalFormatting sqref="I46">
    <cfRule type="expression" dxfId="1301" priority="576">
      <formula>$I$46&gt;0</formula>
    </cfRule>
  </conditionalFormatting>
  <conditionalFormatting sqref="D32:E33">
    <cfRule type="expression" dxfId="1300" priority="575">
      <formula>WEEKDAY($A32,2)&gt;5</formula>
    </cfRule>
  </conditionalFormatting>
  <conditionalFormatting sqref="D35:E35">
    <cfRule type="expression" dxfId="1299" priority="574">
      <formula>WEEKDAY($A35,2)&gt;5</formula>
    </cfRule>
  </conditionalFormatting>
  <conditionalFormatting sqref="D32:E32">
    <cfRule type="expression" dxfId="1298" priority="573">
      <formula>WEEKDAY($A32,2)&gt;5</formula>
    </cfRule>
  </conditionalFormatting>
  <conditionalFormatting sqref="D33:E33">
    <cfRule type="expression" dxfId="1297" priority="572">
      <formula>WEEKDAY($A33,2)&gt;5</formula>
    </cfRule>
  </conditionalFormatting>
  <conditionalFormatting sqref="D34:E34">
    <cfRule type="expression" dxfId="1296" priority="571">
      <formula>WEEKDAY($A34,2)&gt;5</formula>
    </cfRule>
  </conditionalFormatting>
  <conditionalFormatting sqref="D35:E35">
    <cfRule type="expression" dxfId="1295" priority="570">
      <formula>WEEKDAY($A35,2)&gt;5</formula>
    </cfRule>
  </conditionalFormatting>
  <conditionalFormatting sqref="D11:E12">
    <cfRule type="expression" dxfId="1294" priority="569">
      <formula>WEEKDAY($A11,2)&gt;5</formula>
    </cfRule>
  </conditionalFormatting>
  <conditionalFormatting sqref="D14:E14">
    <cfRule type="expression" dxfId="1293" priority="568">
      <formula>WEEKDAY($A14,2)&gt;5</formula>
    </cfRule>
  </conditionalFormatting>
  <conditionalFormatting sqref="D11:E40">
    <cfRule type="expression" dxfId="1292" priority="579">
      <formula>WEEKDAY($A11,2)&gt;5</formula>
    </cfRule>
  </conditionalFormatting>
  <conditionalFormatting sqref="C12:E12">
    <cfRule type="expression" dxfId="1291" priority="566">
      <formula>WEEKDAY($A12,2)&gt;5</formula>
    </cfRule>
  </conditionalFormatting>
  <conditionalFormatting sqref="D13:E40">
    <cfRule type="expression" dxfId="1290" priority="567">
      <formula>WEEKDAY($A13,2)&gt;5</formula>
    </cfRule>
  </conditionalFormatting>
  <conditionalFormatting sqref="D14:E14">
    <cfRule type="expression" dxfId="1289" priority="564">
      <formula>WEEKDAY($A14,2)&gt;5</formula>
    </cfRule>
  </conditionalFormatting>
  <conditionalFormatting sqref="C12:D12">
    <cfRule type="expression" dxfId="1288" priority="563">
      <formula>WEEKDAY($A12,2)&gt;5</formula>
    </cfRule>
  </conditionalFormatting>
  <conditionalFormatting sqref="C12:D12">
    <cfRule type="expression" dxfId="1287" priority="562">
      <formula>WEEKDAY($A12,2)&gt;5</formula>
    </cfRule>
  </conditionalFormatting>
  <conditionalFormatting sqref="C12:D12">
    <cfRule type="expression" dxfId="1286" priority="561">
      <formula>WEEKDAY($A12,2)&gt;5</formula>
    </cfRule>
  </conditionalFormatting>
  <conditionalFormatting sqref="D13:D40">
    <cfRule type="expression" dxfId="1285" priority="565">
      <formula>WEEKDAY($A13,2)&gt;5</formula>
    </cfRule>
  </conditionalFormatting>
  <conditionalFormatting sqref="D13:D40">
    <cfRule type="expression" dxfId="1284" priority="560">
      <formula>WEEKDAY($A13,2)&gt;5</formula>
    </cfRule>
  </conditionalFormatting>
  <conditionalFormatting sqref="D13:D40">
    <cfRule type="expression" dxfId="1283" priority="559">
      <formula>WEEKDAY($A13,2)&gt;5</formula>
    </cfRule>
  </conditionalFormatting>
  <conditionalFormatting sqref="D13:D40">
    <cfRule type="expression" dxfId="1282" priority="558">
      <formula>WEEKDAY($A13,2)&gt;5</formula>
    </cfRule>
  </conditionalFormatting>
  <conditionalFormatting sqref="D14">
    <cfRule type="expression" dxfId="1281" priority="556">
      <formula>WEEKDAY($A14,2)&gt;5</formula>
    </cfRule>
  </conditionalFormatting>
  <conditionalFormatting sqref="D14">
    <cfRule type="expression" dxfId="1280" priority="555">
      <formula>WEEKDAY($A14,2)&gt;5</formula>
    </cfRule>
  </conditionalFormatting>
  <conditionalFormatting sqref="D14">
    <cfRule type="expression" dxfId="1279" priority="554">
      <formula>WEEKDAY($A14,2)&gt;5</formula>
    </cfRule>
  </conditionalFormatting>
  <conditionalFormatting sqref="D14">
    <cfRule type="expression" dxfId="1278" priority="553">
      <formula>WEEKDAY($A14,2)&gt;5</formula>
    </cfRule>
  </conditionalFormatting>
  <conditionalFormatting sqref="D18">
    <cfRule type="expression" dxfId="1277" priority="552">
      <formula>WEEKDAY($A18,2)&gt;5</formula>
    </cfRule>
  </conditionalFormatting>
  <conditionalFormatting sqref="D18">
    <cfRule type="expression" dxfId="1276" priority="551">
      <formula>WEEKDAY($A18,2)&gt;5</formula>
    </cfRule>
  </conditionalFormatting>
  <conditionalFormatting sqref="D18">
    <cfRule type="expression" dxfId="1275" priority="550">
      <formula>WEEKDAY($A18,2)&gt;5</formula>
    </cfRule>
  </conditionalFormatting>
  <conditionalFormatting sqref="D18">
    <cfRule type="expression" dxfId="1274" priority="549">
      <formula>WEEKDAY($A18,2)&gt;5</formula>
    </cfRule>
  </conditionalFormatting>
  <conditionalFormatting sqref="D19">
    <cfRule type="expression" dxfId="1273" priority="548">
      <formula>WEEKDAY($A19,2)&gt;5</formula>
    </cfRule>
  </conditionalFormatting>
  <conditionalFormatting sqref="D19">
    <cfRule type="expression" dxfId="1272" priority="547">
      <formula>WEEKDAY($A19,2)&gt;5</formula>
    </cfRule>
  </conditionalFormatting>
  <conditionalFormatting sqref="D19">
    <cfRule type="expression" dxfId="1271" priority="546">
      <formula>WEEKDAY($A19,2)&gt;5</formula>
    </cfRule>
  </conditionalFormatting>
  <conditionalFormatting sqref="D19">
    <cfRule type="expression" dxfId="1270" priority="545">
      <formula>WEEKDAY($A19,2)&gt;5</formula>
    </cfRule>
  </conditionalFormatting>
  <conditionalFormatting sqref="D20">
    <cfRule type="expression" dxfId="1269" priority="544">
      <formula>WEEKDAY($A20,2)&gt;5</formula>
    </cfRule>
  </conditionalFormatting>
  <conditionalFormatting sqref="D20">
    <cfRule type="expression" dxfId="1268" priority="543">
      <formula>WEEKDAY($A20,2)&gt;5</formula>
    </cfRule>
  </conditionalFormatting>
  <conditionalFormatting sqref="D20">
    <cfRule type="expression" dxfId="1267" priority="542">
      <formula>WEEKDAY($A20,2)&gt;5</formula>
    </cfRule>
  </conditionalFormatting>
  <conditionalFormatting sqref="D20">
    <cfRule type="expression" dxfId="1266" priority="541">
      <formula>WEEKDAY($A20,2)&gt;5</formula>
    </cfRule>
  </conditionalFormatting>
  <conditionalFormatting sqref="D21">
    <cfRule type="expression" dxfId="1265" priority="540">
      <formula>WEEKDAY($A21,2)&gt;5</formula>
    </cfRule>
  </conditionalFormatting>
  <conditionalFormatting sqref="D21">
    <cfRule type="expression" dxfId="1264" priority="539">
      <formula>WEEKDAY($A21,2)&gt;5</formula>
    </cfRule>
  </conditionalFormatting>
  <conditionalFormatting sqref="D21">
    <cfRule type="expression" dxfId="1263" priority="538">
      <formula>WEEKDAY($A21,2)&gt;5</formula>
    </cfRule>
  </conditionalFormatting>
  <conditionalFormatting sqref="D21">
    <cfRule type="expression" dxfId="1262" priority="537">
      <formula>WEEKDAY($A21,2)&gt;5</formula>
    </cfRule>
  </conditionalFormatting>
  <conditionalFormatting sqref="D22">
    <cfRule type="expression" dxfId="1261" priority="536">
      <formula>WEEKDAY($A22,2)&gt;5</formula>
    </cfRule>
  </conditionalFormatting>
  <conditionalFormatting sqref="D22">
    <cfRule type="expression" dxfId="1260" priority="535">
      <formula>WEEKDAY($A22,2)&gt;5</formula>
    </cfRule>
  </conditionalFormatting>
  <conditionalFormatting sqref="D22">
    <cfRule type="expression" dxfId="1259" priority="534">
      <formula>WEEKDAY($A22,2)&gt;5</formula>
    </cfRule>
  </conditionalFormatting>
  <conditionalFormatting sqref="D22">
    <cfRule type="expression" dxfId="1258" priority="533">
      <formula>WEEKDAY($A22,2)&gt;5</formula>
    </cfRule>
  </conditionalFormatting>
  <conditionalFormatting sqref="D25">
    <cfRule type="expression" dxfId="1257" priority="532">
      <formula>WEEKDAY($A25,2)&gt;5</formula>
    </cfRule>
  </conditionalFormatting>
  <conditionalFormatting sqref="D25">
    <cfRule type="expression" dxfId="1256" priority="531">
      <formula>WEEKDAY($A25,2)&gt;5</formula>
    </cfRule>
  </conditionalFormatting>
  <conditionalFormatting sqref="D25">
    <cfRule type="expression" dxfId="1255" priority="530">
      <formula>WEEKDAY($A25,2)&gt;5</formula>
    </cfRule>
  </conditionalFormatting>
  <conditionalFormatting sqref="D25">
    <cfRule type="expression" dxfId="1254" priority="529">
      <formula>WEEKDAY($A25,2)&gt;5</formula>
    </cfRule>
  </conditionalFormatting>
  <conditionalFormatting sqref="D26">
    <cfRule type="expression" dxfId="1253" priority="528">
      <formula>WEEKDAY($A26,2)&gt;5</formula>
    </cfRule>
  </conditionalFormatting>
  <conditionalFormatting sqref="D26">
    <cfRule type="expression" dxfId="1252" priority="527">
      <formula>WEEKDAY($A26,2)&gt;5</formula>
    </cfRule>
  </conditionalFormatting>
  <conditionalFormatting sqref="D26">
    <cfRule type="expression" dxfId="1251" priority="526">
      <formula>WEEKDAY($A26,2)&gt;5</formula>
    </cfRule>
  </conditionalFormatting>
  <conditionalFormatting sqref="D26">
    <cfRule type="expression" dxfId="1250" priority="525">
      <formula>WEEKDAY($A26,2)&gt;5</formula>
    </cfRule>
  </conditionalFormatting>
  <conditionalFormatting sqref="D27">
    <cfRule type="expression" dxfId="1249" priority="524">
      <formula>WEEKDAY($A27,2)&gt;5</formula>
    </cfRule>
  </conditionalFormatting>
  <conditionalFormatting sqref="D27">
    <cfRule type="expression" dxfId="1248" priority="523">
      <formula>WEEKDAY($A27,2)&gt;5</formula>
    </cfRule>
  </conditionalFormatting>
  <conditionalFormatting sqref="D27">
    <cfRule type="expression" dxfId="1247" priority="522">
      <formula>WEEKDAY($A27,2)&gt;5</formula>
    </cfRule>
  </conditionalFormatting>
  <conditionalFormatting sqref="D27">
    <cfRule type="expression" dxfId="1246" priority="521">
      <formula>WEEKDAY($A27,2)&gt;5</formula>
    </cfRule>
  </conditionalFormatting>
  <conditionalFormatting sqref="D28">
    <cfRule type="expression" dxfId="1245" priority="520">
      <formula>WEEKDAY($A28,2)&gt;5</formula>
    </cfRule>
  </conditionalFormatting>
  <conditionalFormatting sqref="D28">
    <cfRule type="expression" dxfId="1244" priority="519">
      <formula>WEEKDAY($A28,2)&gt;5</formula>
    </cfRule>
  </conditionalFormatting>
  <conditionalFormatting sqref="D28">
    <cfRule type="expression" dxfId="1243" priority="518">
      <formula>WEEKDAY($A28,2)&gt;5</formula>
    </cfRule>
  </conditionalFormatting>
  <conditionalFormatting sqref="D28">
    <cfRule type="expression" dxfId="1242" priority="517">
      <formula>WEEKDAY($A28,2)&gt;5</formula>
    </cfRule>
  </conditionalFormatting>
  <conditionalFormatting sqref="D32">
    <cfRule type="expression" dxfId="1241" priority="516">
      <formula>WEEKDAY($A32,2)&gt;5</formula>
    </cfRule>
  </conditionalFormatting>
  <conditionalFormatting sqref="D32">
    <cfRule type="expression" dxfId="1240" priority="515">
      <formula>WEEKDAY($A32,2)&gt;5</formula>
    </cfRule>
  </conditionalFormatting>
  <conditionalFormatting sqref="D32">
    <cfRule type="expression" dxfId="1239" priority="514">
      <formula>WEEKDAY($A32,2)&gt;5</formula>
    </cfRule>
  </conditionalFormatting>
  <conditionalFormatting sqref="D32">
    <cfRule type="expression" dxfId="1238" priority="513">
      <formula>WEEKDAY($A32,2)&gt;5</formula>
    </cfRule>
  </conditionalFormatting>
  <conditionalFormatting sqref="D33">
    <cfRule type="expression" dxfId="1237" priority="512">
      <formula>WEEKDAY($A33,2)&gt;5</formula>
    </cfRule>
  </conditionalFormatting>
  <conditionalFormatting sqref="D33">
    <cfRule type="expression" dxfId="1236" priority="511">
      <formula>WEEKDAY($A33,2)&gt;5</formula>
    </cfRule>
  </conditionalFormatting>
  <conditionalFormatting sqref="D33">
    <cfRule type="expression" dxfId="1235" priority="510">
      <formula>WEEKDAY($A33,2)&gt;5</formula>
    </cfRule>
  </conditionalFormatting>
  <conditionalFormatting sqref="D33">
    <cfRule type="expression" dxfId="1234" priority="509">
      <formula>WEEKDAY($A33,2)&gt;5</formula>
    </cfRule>
  </conditionalFormatting>
  <conditionalFormatting sqref="D36">
    <cfRule type="expression" dxfId="1233" priority="508">
      <formula>WEEKDAY($A36,2)&gt;5</formula>
    </cfRule>
  </conditionalFormatting>
  <conditionalFormatting sqref="D36">
    <cfRule type="expression" dxfId="1232" priority="507">
      <formula>WEEKDAY($A36,2)&gt;5</formula>
    </cfRule>
  </conditionalFormatting>
  <conditionalFormatting sqref="D36">
    <cfRule type="expression" dxfId="1231" priority="506">
      <formula>WEEKDAY($A36,2)&gt;5</formula>
    </cfRule>
  </conditionalFormatting>
  <conditionalFormatting sqref="D36">
    <cfRule type="expression" dxfId="1230" priority="505">
      <formula>WEEKDAY($A36,2)&gt;5</formula>
    </cfRule>
  </conditionalFormatting>
  <conditionalFormatting sqref="D37">
    <cfRule type="expression" dxfId="1229" priority="504">
      <formula>WEEKDAY($A37,2)&gt;5</formula>
    </cfRule>
  </conditionalFormatting>
  <conditionalFormatting sqref="D37">
    <cfRule type="expression" dxfId="1228" priority="503">
      <formula>WEEKDAY($A37,2)&gt;5</formula>
    </cfRule>
  </conditionalFormatting>
  <conditionalFormatting sqref="D37">
    <cfRule type="expression" dxfId="1227" priority="502">
      <formula>WEEKDAY($A37,2)&gt;5</formula>
    </cfRule>
  </conditionalFormatting>
  <conditionalFormatting sqref="D37">
    <cfRule type="expression" dxfId="1226" priority="501">
      <formula>WEEKDAY($A37,2)&gt;5</formula>
    </cfRule>
  </conditionalFormatting>
  <conditionalFormatting sqref="D34">
    <cfRule type="expression" dxfId="1225" priority="500">
      <formula>WEEKDAY($A34,2)&gt;5</formula>
    </cfRule>
  </conditionalFormatting>
  <conditionalFormatting sqref="D34">
    <cfRule type="expression" dxfId="1224" priority="499">
      <formula>WEEKDAY($A34,2)&gt;5</formula>
    </cfRule>
  </conditionalFormatting>
  <conditionalFormatting sqref="D34">
    <cfRule type="expression" dxfId="1223" priority="498">
      <formula>WEEKDAY($A34,2)&gt;5</formula>
    </cfRule>
  </conditionalFormatting>
  <conditionalFormatting sqref="D34">
    <cfRule type="expression" dxfId="1222" priority="497">
      <formula>WEEKDAY($A34,2)&gt;5</formula>
    </cfRule>
  </conditionalFormatting>
  <conditionalFormatting sqref="D34">
    <cfRule type="expression" dxfId="1221" priority="496">
      <formula>WEEKDAY($A34,2)&gt;5</formula>
    </cfRule>
  </conditionalFormatting>
  <conditionalFormatting sqref="D34">
    <cfRule type="expression" dxfId="1220" priority="495">
      <formula>WEEKDAY($A34,2)&gt;5</formula>
    </cfRule>
  </conditionalFormatting>
  <conditionalFormatting sqref="D34">
    <cfRule type="expression" dxfId="1219" priority="494">
      <formula>WEEKDAY($A34,2)&gt;5</formula>
    </cfRule>
  </conditionalFormatting>
  <conditionalFormatting sqref="D35">
    <cfRule type="expression" dxfId="1218" priority="493">
      <formula>WEEKDAY($A35,2)&gt;5</formula>
    </cfRule>
  </conditionalFormatting>
  <conditionalFormatting sqref="D35">
    <cfRule type="expression" dxfId="1217" priority="492">
      <formula>WEEKDAY($A35,2)&gt;5</formula>
    </cfRule>
  </conditionalFormatting>
  <conditionalFormatting sqref="D35">
    <cfRule type="expression" dxfId="1216" priority="491">
      <formula>WEEKDAY($A35,2)&gt;5</formula>
    </cfRule>
  </conditionalFormatting>
  <conditionalFormatting sqref="D35">
    <cfRule type="expression" dxfId="1215" priority="490">
      <formula>WEEKDAY($A35,2)&gt;5</formula>
    </cfRule>
  </conditionalFormatting>
  <conditionalFormatting sqref="D35">
    <cfRule type="expression" dxfId="1214" priority="489">
      <formula>WEEKDAY($A35,2)&gt;5</formula>
    </cfRule>
  </conditionalFormatting>
  <conditionalFormatting sqref="D35">
    <cfRule type="expression" dxfId="1213" priority="488">
      <formula>WEEKDAY($A35,2)&gt;5</formula>
    </cfRule>
  </conditionalFormatting>
  <conditionalFormatting sqref="D35">
    <cfRule type="expression" dxfId="1212" priority="487">
      <formula>WEEKDAY($A35,2)&gt;5</formula>
    </cfRule>
  </conditionalFormatting>
  <conditionalFormatting sqref="B13:C40">
    <cfRule type="expression" dxfId="1211" priority="557">
      <formula>WEEKDAY($A13,2)&gt;5</formula>
    </cfRule>
  </conditionalFormatting>
  <conditionalFormatting sqref="B13:C40">
    <cfRule type="expression" dxfId="1210" priority="486">
      <formula>WEEKDAY($A13,2)&gt;5</formula>
    </cfRule>
  </conditionalFormatting>
  <conditionalFormatting sqref="B13:C40">
    <cfRule type="expression" dxfId="1209" priority="485">
      <formula>WEEKDAY($A13,2)&gt;5</formula>
    </cfRule>
  </conditionalFormatting>
  <conditionalFormatting sqref="B13:C40">
    <cfRule type="expression" dxfId="1208" priority="484">
      <formula>WEEKDAY($A13,2)&gt;5</formula>
    </cfRule>
  </conditionalFormatting>
  <conditionalFormatting sqref="C13:C40">
    <cfRule type="expression" dxfId="1207" priority="483">
      <formula>WEEKDAY($A13,2)&gt;5</formula>
    </cfRule>
  </conditionalFormatting>
  <conditionalFormatting sqref="C13:C40">
    <cfRule type="expression" dxfId="1206" priority="482">
      <formula>WEEKDAY($A13,2)&gt;5</formula>
    </cfRule>
  </conditionalFormatting>
  <conditionalFormatting sqref="B15:C15">
    <cfRule type="expression" dxfId="1205" priority="480">
      <formula>WEEKDAY($A15,2)&gt;5</formula>
    </cfRule>
  </conditionalFormatting>
  <conditionalFormatting sqref="B15:C15">
    <cfRule type="expression" dxfId="1204" priority="479">
      <formula>WEEKDAY($A15,2)&gt;5</formula>
    </cfRule>
  </conditionalFormatting>
  <conditionalFormatting sqref="B15:C15">
    <cfRule type="expression" dxfId="1203" priority="478">
      <formula>WEEKDAY($A15,2)&gt;5</formula>
    </cfRule>
  </conditionalFormatting>
  <conditionalFormatting sqref="C15">
    <cfRule type="expression" dxfId="1202" priority="477">
      <formula>WEEKDAY($A15,2)&gt;5</formula>
    </cfRule>
  </conditionalFormatting>
  <conditionalFormatting sqref="C15">
    <cfRule type="expression" dxfId="1201" priority="476">
      <formula>WEEKDAY($A15,2)&gt;5</formula>
    </cfRule>
  </conditionalFormatting>
  <conditionalFormatting sqref="B12:D13 B11:C40">
    <cfRule type="expression" dxfId="1200" priority="481">
      <formula>WEEKDAY($A11,2)&gt;5</formula>
    </cfRule>
  </conditionalFormatting>
  <conditionalFormatting sqref="B17:C17">
    <cfRule type="expression" dxfId="1199" priority="469">
      <formula>WEEKDAY($A17,2)&gt;5</formula>
    </cfRule>
  </conditionalFormatting>
  <conditionalFormatting sqref="B18:C18">
    <cfRule type="expression" dxfId="1198" priority="467">
      <formula>WEEKDAY($A18,2)&gt;5</formula>
    </cfRule>
  </conditionalFormatting>
  <conditionalFormatting sqref="B17:C18">
    <cfRule type="expression" dxfId="1197" priority="466">
      <formula>$M17="frei"</formula>
    </cfRule>
  </conditionalFormatting>
  <conditionalFormatting sqref="B18:C18">
    <cfRule type="expression" dxfId="1196" priority="465">
      <formula>WEEKDAY($A18,2)&gt;5</formula>
    </cfRule>
  </conditionalFormatting>
  <conditionalFormatting sqref="K20">
    <cfRule type="expression" dxfId="1195" priority="464">
      <formula>WEEKDAY($A20,2)&gt;5</formula>
    </cfRule>
  </conditionalFormatting>
  <conditionalFormatting sqref="B19:C19">
    <cfRule type="expression" dxfId="1194" priority="463">
      <formula>WEEKDAY($A19,2)&gt;5</formula>
    </cfRule>
  </conditionalFormatting>
  <conditionalFormatting sqref="B19:C19">
    <cfRule type="expression" dxfId="1193" priority="462">
      <formula>$M19="frei"</formula>
    </cfRule>
  </conditionalFormatting>
  <conditionalFormatting sqref="B19:C19">
    <cfRule type="expression" dxfId="1192" priority="461">
      <formula>WEEKDAY($A19,2)&gt;5</formula>
    </cfRule>
  </conditionalFormatting>
  <conditionalFormatting sqref="B21:C21">
    <cfRule type="expression" dxfId="1191" priority="457">
      <formula>WEEKDAY($A21,2)&gt;5</formula>
    </cfRule>
  </conditionalFormatting>
  <conditionalFormatting sqref="B21:C21">
    <cfRule type="expression" dxfId="1190" priority="456">
      <formula>$M21="frei"</formula>
    </cfRule>
  </conditionalFormatting>
  <conditionalFormatting sqref="B21:C21">
    <cfRule type="expression" dxfId="1189" priority="455">
      <formula>WEEKDAY($A21,2)&gt;5</formula>
    </cfRule>
  </conditionalFormatting>
  <conditionalFormatting sqref="K21">
    <cfRule type="expression" dxfId="1188" priority="451">
      <formula>WEEKDAY($A21,2)&gt;5</formula>
    </cfRule>
  </conditionalFormatting>
  <conditionalFormatting sqref="K22">
    <cfRule type="expression" dxfId="1187" priority="450">
      <formula>WEEKDAY($A22,2)&gt;5</formula>
    </cfRule>
  </conditionalFormatting>
  <conditionalFormatting sqref="K12">
    <cfRule type="expression" dxfId="1186" priority="449">
      <formula>WEEKDAY($A12,2)&gt;5</formula>
    </cfRule>
  </conditionalFormatting>
  <conditionalFormatting sqref="K12">
    <cfRule type="expression" dxfId="1185" priority="448">
      <formula>WEEKDAY($A12,2)&gt;5</formula>
    </cfRule>
  </conditionalFormatting>
  <conditionalFormatting sqref="K14">
    <cfRule type="expression" dxfId="1184" priority="447">
      <formula>WEEKDAY($A14,2)&gt;5</formula>
    </cfRule>
  </conditionalFormatting>
  <conditionalFormatting sqref="K14">
    <cfRule type="expression" dxfId="1183" priority="446">
      <formula>WEEKDAY($A14,2)&gt;5</formula>
    </cfRule>
  </conditionalFormatting>
  <conditionalFormatting sqref="K14">
    <cfRule type="expression" dxfId="1182" priority="445">
      <formula>WEEKDAY($A14,2)&gt;5</formula>
    </cfRule>
  </conditionalFormatting>
  <conditionalFormatting sqref="K13">
    <cfRule type="expression" dxfId="1181" priority="444">
      <formula>WEEKDAY($A13,2)&gt;5</formula>
    </cfRule>
  </conditionalFormatting>
  <conditionalFormatting sqref="K13">
    <cfRule type="expression" dxfId="1180" priority="443">
      <formula>WEEKDAY($A13,2)&gt;5</formula>
    </cfRule>
  </conditionalFormatting>
  <conditionalFormatting sqref="K13">
    <cfRule type="expression" dxfId="1179" priority="442">
      <formula>WEEKDAY($A13,2)&gt;5</formula>
    </cfRule>
  </conditionalFormatting>
  <conditionalFormatting sqref="B20:C20">
    <cfRule type="expression" dxfId="1178" priority="441">
      <formula>WEEKDAY($A20,2)&gt;5</formula>
    </cfRule>
  </conditionalFormatting>
  <conditionalFormatting sqref="B20:C20">
    <cfRule type="expression" dxfId="1177" priority="440">
      <formula>$M20="frei"</formula>
    </cfRule>
  </conditionalFormatting>
  <conditionalFormatting sqref="B20:C20">
    <cfRule type="expression" dxfId="1176" priority="439">
      <formula>WEEKDAY($A20,2)&gt;5</formula>
    </cfRule>
  </conditionalFormatting>
  <conditionalFormatting sqref="B12:D13 B11:C40">
    <cfRule type="expression" dxfId="1175" priority="468">
      <formula>WEEKDAY($A11,2)&gt;5</formula>
    </cfRule>
  </conditionalFormatting>
  <conditionalFormatting sqref="B23:C23">
    <cfRule type="expression" dxfId="1174" priority="438">
      <formula>WEEKDAY($A23,2)&gt;5</formula>
    </cfRule>
  </conditionalFormatting>
  <conditionalFormatting sqref="B23:C23">
    <cfRule type="expression" dxfId="1173" priority="436">
      <formula>$M23="frei"</formula>
    </cfRule>
  </conditionalFormatting>
  <conditionalFormatting sqref="B23:C23">
    <cfRule type="expression" dxfId="1172" priority="437">
      <formula>WEEKDAY($A23,2)&gt;5</formula>
    </cfRule>
  </conditionalFormatting>
  <conditionalFormatting sqref="B14:C14">
    <cfRule type="expression" dxfId="1171" priority="434">
      <formula>WEEKDAY($A14,2)&gt;5</formula>
    </cfRule>
  </conditionalFormatting>
  <conditionalFormatting sqref="C14">
    <cfRule type="expression" dxfId="1170" priority="433">
      <formula>WEEKDAY($A14,2)&gt;5</formula>
    </cfRule>
  </conditionalFormatting>
  <conditionalFormatting sqref="C14">
    <cfRule type="expression" dxfId="1169" priority="432">
      <formula>WEEKDAY($A14,2)&gt;5</formula>
    </cfRule>
  </conditionalFormatting>
  <conditionalFormatting sqref="B22:C22">
    <cfRule type="expression" dxfId="1168" priority="431">
      <formula>WEEKDAY($A22,2)&gt;5</formula>
    </cfRule>
  </conditionalFormatting>
  <conditionalFormatting sqref="B22:C22">
    <cfRule type="expression" dxfId="1167" priority="430">
      <formula>WEEKDAY($A22,2)&gt;5</formula>
    </cfRule>
  </conditionalFormatting>
  <conditionalFormatting sqref="B22:C22">
    <cfRule type="expression" dxfId="1166" priority="429">
      <formula>$M22="frei"</formula>
    </cfRule>
  </conditionalFormatting>
  <conditionalFormatting sqref="C22">
    <cfRule type="expression" dxfId="1165" priority="428">
      <formula>WEEKDAY($A22,2)&gt;5</formula>
    </cfRule>
  </conditionalFormatting>
  <conditionalFormatting sqref="C22">
    <cfRule type="expression" dxfId="1164" priority="427">
      <formula>WEEKDAY($A22,2)&gt;5</formula>
    </cfRule>
  </conditionalFormatting>
  <conditionalFormatting sqref="L43">
    <cfRule type="expression" dxfId="1163" priority="426">
      <formula>WEEKDAY($A43,2)&gt;5</formula>
    </cfRule>
  </conditionalFormatting>
  <conditionalFormatting sqref="L43">
    <cfRule type="cellIs" dxfId="1162" priority="425" operator="greaterThan">
      <formula>2.08333333333333</formula>
    </cfRule>
  </conditionalFormatting>
  <conditionalFormatting sqref="L43">
    <cfRule type="expression" dxfId="1161" priority="424">
      <formula>L43=""</formula>
    </cfRule>
  </conditionalFormatting>
  <conditionalFormatting sqref="B18:C18">
    <cfRule type="expression" dxfId="1160" priority="423">
      <formula>WEEKDAY($A18,2)&gt;5</formula>
    </cfRule>
  </conditionalFormatting>
  <conditionalFormatting sqref="B18:C18">
    <cfRule type="expression" dxfId="1159" priority="422">
      <formula>$M18="frei"</formula>
    </cfRule>
  </conditionalFormatting>
  <conditionalFormatting sqref="B19:C19">
    <cfRule type="expression" dxfId="1158" priority="421">
      <formula>WEEKDAY($A19,2)&gt;5</formula>
    </cfRule>
  </conditionalFormatting>
  <conditionalFormatting sqref="B19:C19">
    <cfRule type="expression" dxfId="1157" priority="420">
      <formula>$M19="frei"</formula>
    </cfRule>
  </conditionalFormatting>
  <conditionalFormatting sqref="B20:C20">
    <cfRule type="expression" dxfId="1156" priority="419">
      <formula>WEEKDAY($A20,2)&gt;5</formula>
    </cfRule>
  </conditionalFormatting>
  <conditionalFormatting sqref="B20:C20">
    <cfRule type="expression" dxfId="1155" priority="418">
      <formula>$M20="frei"</formula>
    </cfRule>
  </conditionalFormatting>
  <conditionalFormatting sqref="B20:C20">
    <cfRule type="expression" dxfId="1154" priority="417">
      <formula>WEEKDAY($A20,2)&gt;5</formula>
    </cfRule>
  </conditionalFormatting>
  <conditionalFormatting sqref="B20:C20">
    <cfRule type="expression" dxfId="1153" priority="416">
      <formula>WEEKDAY($A20,2)&gt;5</formula>
    </cfRule>
  </conditionalFormatting>
  <conditionalFormatting sqref="B20:C20">
    <cfRule type="expression" dxfId="1152" priority="415">
      <formula>$M20="frei"</formula>
    </cfRule>
  </conditionalFormatting>
  <conditionalFormatting sqref="B21:C21">
    <cfRule type="expression" dxfId="1151" priority="414">
      <formula>WEEKDAY($A21,2)&gt;5</formula>
    </cfRule>
  </conditionalFormatting>
  <conditionalFormatting sqref="B21:C21">
    <cfRule type="expression" dxfId="1150" priority="413">
      <formula>$M21="frei"</formula>
    </cfRule>
  </conditionalFormatting>
  <conditionalFormatting sqref="B21:C21">
    <cfRule type="expression" dxfId="1149" priority="412">
      <formula>WEEKDAY($A21,2)&gt;5</formula>
    </cfRule>
  </conditionalFormatting>
  <conditionalFormatting sqref="B21:C21">
    <cfRule type="expression" dxfId="1148" priority="411">
      <formula>WEEKDAY($A21,2)&gt;5</formula>
    </cfRule>
  </conditionalFormatting>
  <conditionalFormatting sqref="B21:C21">
    <cfRule type="expression" dxfId="1147" priority="410">
      <formula>$M21="frei"</formula>
    </cfRule>
  </conditionalFormatting>
  <conditionalFormatting sqref="B22:C22">
    <cfRule type="expression" dxfId="1146" priority="409">
      <formula>WEEKDAY($A22,2)&gt;5</formula>
    </cfRule>
  </conditionalFormatting>
  <conditionalFormatting sqref="B22:C22">
    <cfRule type="expression" dxfId="1145" priority="408">
      <formula>$M22="frei"</formula>
    </cfRule>
  </conditionalFormatting>
  <conditionalFormatting sqref="B22:C22">
    <cfRule type="expression" dxfId="1144" priority="407">
      <formula>WEEKDAY($A22,2)&gt;5</formula>
    </cfRule>
  </conditionalFormatting>
  <conditionalFormatting sqref="B22:C22">
    <cfRule type="expression" dxfId="1143" priority="406">
      <formula>WEEKDAY($A22,2)&gt;5</formula>
    </cfRule>
  </conditionalFormatting>
  <conditionalFormatting sqref="B22:C22">
    <cfRule type="expression" dxfId="1142" priority="405">
      <formula>$M22="frei"</formula>
    </cfRule>
  </conditionalFormatting>
  <conditionalFormatting sqref="B25:C25">
    <cfRule type="expression" dxfId="1141" priority="404">
      <formula>WEEKDAY($A25,2)&gt;5</formula>
    </cfRule>
  </conditionalFormatting>
  <conditionalFormatting sqref="B25:C25">
    <cfRule type="expression" dxfId="1140" priority="403">
      <formula>$M25="frei"</formula>
    </cfRule>
  </conditionalFormatting>
  <conditionalFormatting sqref="B25:C25">
    <cfRule type="expression" dxfId="1139" priority="402">
      <formula>WEEKDAY($A25,2)&gt;5</formula>
    </cfRule>
  </conditionalFormatting>
  <conditionalFormatting sqref="B25:C25">
    <cfRule type="expression" dxfId="1138" priority="401">
      <formula>WEEKDAY($A25,2)&gt;5</formula>
    </cfRule>
  </conditionalFormatting>
  <conditionalFormatting sqref="B25:C25">
    <cfRule type="expression" dxfId="1137" priority="400">
      <formula>$M25="frei"</formula>
    </cfRule>
  </conditionalFormatting>
  <conditionalFormatting sqref="B26:C26">
    <cfRule type="expression" dxfId="1136" priority="399">
      <formula>WEEKDAY($A26,2)&gt;5</formula>
    </cfRule>
  </conditionalFormatting>
  <conditionalFormatting sqref="B26:C26">
    <cfRule type="expression" dxfId="1135" priority="398">
      <formula>$M26="frei"</formula>
    </cfRule>
  </conditionalFormatting>
  <conditionalFormatting sqref="B26:C26">
    <cfRule type="expression" dxfId="1134" priority="397">
      <formula>WEEKDAY($A26,2)&gt;5</formula>
    </cfRule>
  </conditionalFormatting>
  <conditionalFormatting sqref="B26:C26">
    <cfRule type="expression" dxfId="1133" priority="396">
      <formula>WEEKDAY($A26,2)&gt;5</formula>
    </cfRule>
  </conditionalFormatting>
  <conditionalFormatting sqref="B26:C26">
    <cfRule type="expression" dxfId="1132" priority="395">
      <formula>$M26="frei"</formula>
    </cfRule>
  </conditionalFormatting>
  <conditionalFormatting sqref="B27:C27">
    <cfRule type="expression" dxfId="1131" priority="394">
      <formula>WEEKDAY($A27,2)&gt;5</formula>
    </cfRule>
  </conditionalFormatting>
  <conditionalFormatting sqref="B27:C27">
    <cfRule type="expression" dxfId="1130" priority="393">
      <formula>$M27="frei"</formula>
    </cfRule>
  </conditionalFormatting>
  <conditionalFormatting sqref="B27:C27">
    <cfRule type="expression" dxfId="1129" priority="392">
      <formula>WEEKDAY($A27,2)&gt;5</formula>
    </cfRule>
  </conditionalFormatting>
  <conditionalFormatting sqref="B27:C27">
    <cfRule type="expression" dxfId="1128" priority="391">
      <formula>WEEKDAY($A27,2)&gt;5</formula>
    </cfRule>
  </conditionalFormatting>
  <conditionalFormatting sqref="B27:C27">
    <cfRule type="expression" dxfId="1127" priority="390">
      <formula>$M27="frei"</formula>
    </cfRule>
  </conditionalFormatting>
  <conditionalFormatting sqref="B28:C28">
    <cfRule type="expression" dxfId="1126" priority="389">
      <formula>WEEKDAY($A28,2)&gt;5</formula>
    </cfRule>
  </conditionalFormatting>
  <conditionalFormatting sqref="B28:C28">
    <cfRule type="expression" dxfId="1125" priority="388">
      <formula>$M28="frei"</formula>
    </cfRule>
  </conditionalFormatting>
  <conditionalFormatting sqref="B28:C28">
    <cfRule type="expression" dxfId="1124" priority="387">
      <formula>WEEKDAY($A28,2)&gt;5</formula>
    </cfRule>
  </conditionalFormatting>
  <conditionalFormatting sqref="B28:C28">
    <cfRule type="expression" dxfId="1123" priority="386">
      <formula>WEEKDAY($A28,2)&gt;5</formula>
    </cfRule>
  </conditionalFormatting>
  <conditionalFormatting sqref="B28:C28">
    <cfRule type="expression" dxfId="1122" priority="385">
      <formula>$M28="frei"</formula>
    </cfRule>
  </conditionalFormatting>
  <conditionalFormatting sqref="B29:C29">
    <cfRule type="expression" dxfId="1121" priority="384">
      <formula>WEEKDAY($A29,2)&gt;5</formula>
    </cfRule>
  </conditionalFormatting>
  <conditionalFormatting sqref="B29:C29">
    <cfRule type="expression" dxfId="1120" priority="383">
      <formula>$M29="frei"</formula>
    </cfRule>
  </conditionalFormatting>
  <conditionalFormatting sqref="B29:C29">
    <cfRule type="expression" dxfId="1119" priority="382">
      <formula>WEEKDAY($A29,2)&gt;5</formula>
    </cfRule>
  </conditionalFormatting>
  <conditionalFormatting sqref="B29:C29">
    <cfRule type="expression" dxfId="1118" priority="381">
      <formula>WEEKDAY($A29,2)&gt;5</formula>
    </cfRule>
  </conditionalFormatting>
  <conditionalFormatting sqref="B29:C29">
    <cfRule type="expression" dxfId="1117" priority="380">
      <formula>$M29="frei"</formula>
    </cfRule>
  </conditionalFormatting>
  <conditionalFormatting sqref="B32:C32">
    <cfRule type="expression" dxfId="1116" priority="379">
      <formula>WEEKDAY($A32,2)&gt;5</formula>
    </cfRule>
  </conditionalFormatting>
  <conditionalFormatting sqref="B32:C32">
    <cfRule type="expression" dxfId="1115" priority="378">
      <formula>$M32="frei"</formula>
    </cfRule>
  </conditionalFormatting>
  <conditionalFormatting sqref="B32:C32">
    <cfRule type="expression" dxfId="1114" priority="377">
      <formula>WEEKDAY($A32,2)&gt;5</formula>
    </cfRule>
  </conditionalFormatting>
  <conditionalFormatting sqref="B32:C32">
    <cfRule type="expression" dxfId="1113" priority="376">
      <formula>WEEKDAY($A32,2)&gt;5</formula>
    </cfRule>
  </conditionalFormatting>
  <conditionalFormatting sqref="B32:C32">
    <cfRule type="expression" dxfId="1112" priority="375">
      <formula>$M32="frei"</formula>
    </cfRule>
  </conditionalFormatting>
  <conditionalFormatting sqref="B33:C33">
    <cfRule type="expression" dxfId="1111" priority="374">
      <formula>WEEKDAY($A33,2)&gt;5</formula>
    </cfRule>
  </conditionalFormatting>
  <conditionalFormatting sqref="B33:C33">
    <cfRule type="expression" dxfId="1110" priority="373">
      <formula>$M33="frei"</formula>
    </cfRule>
  </conditionalFormatting>
  <conditionalFormatting sqref="B33:C33">
    <cfRule type="expression" dxfId="1109" priority="372">
      <formula>WEEKDAY($A33,2)&gt;5</formula>
    </cfRule>
  </conditionalFormatting>
  <conditionalFormatting sqref="B33:C33">
    <cfRule type="expression" dxfId="1108" priority="371">
      <formula>WEEKDAY($A33,2)&gt;5</formula>
    </cfRule>
  </conditionalFormatting>
  <conditionalFormatting sqref="B33:C33">
    <cfRule type="expression" dxfId="1107" priority="370">
      <formula>$M33="frei"</formula>
    </cfRule>
  </conditionalFormatting>
  <conditionalFormatting sqref="B34:C34">
    <cfRule type="expression" dxfId="1106" priority="369">
      <formula>WEEKDAY($A34,2)&gt;5</formula>
    </cfRule>
  </conditionalFormatting>
  <conditionalFormatting sqref="B34:C34">
    <cfRule type="expression" dxfId="1105" priority="368">
      <formula>$M34="frei"</formula>
    </cfRule>
  </conditionalFormatting>
  <conditionalFormatting sqref="B34:C34">
    <cfRule type="expression" dxfId="1104" priority="367">
      <formula>WEEKDAY($A34,2)&gt;5</formula>
    </cfRule>
  </conditionalFormatting>
  <conditionalFormatting sqref="B34:C34">
    <cfRule type="expression" dxfId="1103" priority="366">
      <formula>WEEKDAY($A34,2)&gt;5</formula>
    </cfRule>
  </conditionalFormatting>
  <conditionalFormatting sqref="B34:C34">
    <cfRule type="expression" dxfId="1102" priority="365">
      <formula>$M34="frei"</formula>
    </cfRule>
  </conditionalFormatting>
  <conditionalFormatting sqref="B35:C35">
    <cfRule type="expression" dxfId="1101" priority="364">
      <formula>WEEKDAY($A35,2)&gt;5</formula>
    </cfRule>
  </conditionalFormatting>
  <conditionalFormatting sqref="B35:C35">
    <cfRule type="expression" dxfId="1100" priority="363">
      <formula>$M35="frei"</formula>
    </cfRule>
  </conditionalFormatting>
  <conditionalFormatting sqref="B35:C35">
    <cfRule type="expression" dxfId="1099" priority="362">
      <formula>WEEKDAY($A35,2)&gt;5</formula>
    </cfRule>
  </conditionalFormatting>
  <conditionalFormatting sqref="B35:C35">
    <cfRule type="expression" dxfId="1098" priority="361">
      <formula>WEEKDAY($A35,2)&gt;5</formula>
    </cfRule>
  </conditionalFormatting>
  <conditionalFormatting sqref="B35:C35">
    <cfRule type="expression" dxfId="1097" priority="360">
      <formula>$M35="frei"</formula>
    </cfRule>
  </conditionalFormatting>
  <conditionalFormatting sqref="B36:C36">
    <cfRule type="expression" dxfId="1096" priority="359">
      <formula>WEEKDAY($A36,2)&gt;5</formula>
    </cfRule>
  </conditionalFormatting>
  <conditionalFormatting sqref="B36:C36">
    <cfRule type="expression" dxfId="1095" priority="358">
      <formula>$M36="frei"</formula>
    </cfRule>
  </conditionalFormatting>
  <conditionalFormatting sqref="B36:C36">
    <cfRule type="expression" dxfId="1094" priority="357">
      <formula>WEEKDAY($A36,2)&gt;5</formula>
    </cfRule>
  </conditionalFormatting>
  <conditionalFormatting sqref="B36:C36">
    <cfRule type="expression" dxfId="1093" priority="356">
      <formula>WEEKDAY($A36,2)&gt;5</formula>
    </cfRule>
  </conditionalFormatting>
  <conditionalFormatting sqref="B36:C36">
    <cfRule type="expression" dxfId="1092" priority="355">
      <formula>$M36="frei"</formula>
    </cfRule>
  </conditionalFormatting>
  <conditionalFormatting sqref="B39:C39">
    <cfRule type="expression" dxfId="1091" priority="354">
      <formula>WEEKDAY($A39,2)&gt;5</formula>
    </cfRule>
  </conditionalFormatting>
  <conditionalFormatting sqref="B39:C39">
    <cfRule type="expression" dxfId="1090" priority="353">
      <formula>$M39="frei"</formula>
    </cfRule>
  </conditionalFormatting>
  <conditionalFormatting sqref="B39:C39">
    <cfRule type="expression" dxfId="1089" priority="352">
      <formula>WEEKDAY($A39,2)&gt;5</formula>
    </cfRule>
  </conditionalFormatting>
  <conditionalFormatting sqref="B39:C39">
    <cfRule type="expression" dxfId="1088" priority="351">
      <formula>WEEKDAY($A39,2)&gt;5</formula>
    </cfRule>
  </conditionalFormatting>
  <conditionalFormatting sqref="B39:C39">
    <cfRule type="expression" dxfId="1087" priority="350">
      <formula>$M39="frei"</formula>
    </cfRule>
  </conditionalFormatting>
  <conditionalFormatting sqref="B40:C40">
    <cfRule type="expression" dxfId="1086" priority="349">
      <formula>WEEKDAY($A40,2)&gt;5</formula>
    </cfRule>
  </conditionalFormatting>
  <conditionalFormatting sqref="B40:C40">
    <cfRule type="expression" dxfId="1085" priority="348">
      <formula>$M40="frei"</formula>
    </cfRule>
  </conditionalFormatting>
  <conditionalFormatting sqref="B40:C40">
    <cfRule type="expression" dxfId="1084" priority="347">
      <formula>WEEKDAY($A40,2)&gt;5</formula>
    </cfRule>
  </conditionalFormatting>
  <conditionalFormatting sqref="B40:C40">
    <cfRule type="expression" dxfId="1083" priority="346">
      <formula>WEEKDAY($A40,2)&gt;5</formula>
    </cfRule>
  </conditionalFormatting>
  <conditionalFormatting sqref="B40:C40">
    <cfRule type="expression" dxfId="1082" priority="345">
      <formula>$M40="frei"</formula>
    </cfRule>
  </conditionalFormatting>
  <conditionalFormatting sqref="C18">
    <cfRule type="expression" dxfId="1081" priority="344">
      <formula>WEEKDAY($A18,2)&gt;5</formula>
    </cfRule>
  </conditionalFormatting>
  <conditionalFormatting sqref="C18">
    <cfRule type="expression" dxfId="1080" priority="343">
      <formula>$M18="frei"</formula>
    </cfRule>
  </conditionalFormatting>
  <conditionalFormatting sqref="C19">
    <cfRule type="expression" dxfId="1079" priority="342">
      <formula>WEEKDAY($A19,2)&gt;5</formula>
    </cfRule>
  </conditionalFormatting>
  <conditionalFormatting sqref="C19">
    <cfRule type="expression" dxfId="1078" priority="341">
      <formula>$M19="frei"</formula>
    </cfRule>
  </conditionalFormatting>
  <conditionalFormatting sqref="C20:C21">
    <cfRule type="expression" dxfId="1077" priority="340">
      <formula>WEEKDAY($A20,2)&gt;5</formula>
    </cfRule>
  </conditionalFormatting>
  <conditionalFormatting sqref="C20:C21">
    <cfRule type="expression" dxfId="1076" priority="339">
      <formula>$M20="frei"</formula>
    </cfRule>
  </conditionalFormatting>
  <conditionalFormatting sqref="C21">
    <cfRule type="expression" dxfId="1075" priority="338">
      <formula>WEEKDAY($A21,2)&gt;5</formula>
    </cfRule>
  </conditionalFormatting>
  <conditionalFormatting sqref="C21">
    <cfRule type="expression" dxfId="1074" priority="337">
      <formula>$M21="frei"</formula>
    </cfRule>
  </conditionalFormatting>
  <conditionalFormatting sqref="C22">
    <cfRule type="expression" dxfId="1073" priority="336">
      <formula>WEEKDAY($A22,2)&gt;5</formula>
    </cfRule>
  </conditionalFormatting>
  <conditionalFormatting sqref="C22">
    <cfRule type="expression" dxfId="1072" priority="335">
      <formula>$M22="frei"</formula>
    </cfRule>
  </conditionalFormatting>
  <conditionalFormatting sqref="C25">
    <cfRule type="expression" dxfId="1071" priority="334">
      <formula>WEEKDAY($A25,2)&gt;5</formula>
    </cfRule>
  </conditionalFormatting>
  <conditionalFormatting sqref="C26">
    <cfRule type="expression" dxfId="1070" priority="333">
      <formula>WEEKDAY($A26,2)&gt;5</formula>
    </cfRule>
  </conditionalFormatting>
  <conditionalFormatting sqref="C27">
    <cfRule type="expression" dxfId="1069" priority="332">
      <formula>WEEKDAY($A27,2)&gt;5</formula>
    </cfRule>
  </conditionalFormatting>
  <conditionalFormatting sqref="B40:C40">
    <cfRule type="expression" dxfId="1068" priority="331">
      <formula>WEEKDAY($A40,2)&gt;5</formula>
    </cfRule>
  </conditionalFormatting>
  <conditionalFormatting sqref="B40:C40">
    <cfRule type="expression" dxfId="1067" priority="327">
      <formula>$M40="frei"</formula>
    </cfRule>
  </conditionalFormatting>
  <conditionalFormatting sqref="B40:C40">
    <cfRule type="expression" dxfId="1066" priority="330">
      <formula>WEEKDAY($A40,2)&gt;5</formula>
    </cfRule>
  </conditionalFormatting>
  <conditionalFormatting sqref="B40:C40">
    <cfRule type="expression" dxfId="1065" priority="329">
      <formula>WEEKDAY($A40,2)&gt;5</formula>
    </cfRule>
  </conditionalFormatting>
  <conditionalFormatting sqref="B40:C40">
    <cfRule type="expression" dxfId="1064" priority="328">
      <formula>WEEKDAY($A40,2)&gt;5</formula>
    </cfRule>
  </conditionalFormatting>
  <conditionalFormatting sqref="B40:C40">
    <cfRule type="expression" dxfId="1063" priority="326">
      <formula>WEEKDAY($A40,2)&gt;5</formula>
    </cfRule>
  </conditionalFormatting>
  <conditionalFormatting sqref="B40:C40">
    <cfRule type="expression" dxfId="1062" priority="325">
      <formula>$M40="frei"</formula>
    </cfRule>
  </conditionalFormatting>
  <conditionalFormatting sqref="B40:C40">
    <cfRule type="expression" dxfId="1061" priority="324">
      <formula>WEEKDAY($A40,2)&gt;5</formula>
    </cfRule>
  </conditionalFormatting>
  <conditionalFormatting sqref="B40:C40">
    <cfRule type="expression" dxfId="1060" priority="323">
      <formula>WEEKDAY($A40,2)&gt;5</formula>
    </cfRule>
  </conditionalFormatting>
  <conditionalFormatting sqref="B40:C40">
    <cfRule type="expression" dxfId="1059" priority="322">
      <formula>$M40="frei"</formula>
    </cfRule>
  </conditionalFormatting>
  <conditionalFormatting sqref="B22:C22">
    <cfRule type="expression" dxfId="1058" priority="321">
      <formula>WEEKDAY($A22,2)&gt;5</formula>
    </cfRule>
  </conditionalFormatting>
  <conditionalFormatting sqref="B22:C22">
    <cfRule type="expression" dxfId="1057" priority="320">
      <formula>$M22="frei"</formula>
    </cfRule>
  </conditionalFormatting>
  <conditionalFormatting sqref="B22:C22">
    <cfRule type="expression" dxfId="1056" priority="319">
      <formula>WEEKDAY($A22,2)&gt;5</formula>
    </cfRule>
  </conditionalFormatting>
  <conditionalFormatting sqref="B22:C22">
    <cfRule type="expression" dxfId="1055" priority="318">
      <formula>WEEKDAY($A22,2)&gt;5</formula>
    </cfRule>
  </conditionalFormatting>
  <conditionalFormatting sqref="B22:C22">
    <cfRule type="expression" dxfId="1054" priority="317">
      <formula>$M22="frei"</formula>
    </cfRule>
  </conditionalFormatting>
  <conditionalFormatting sqref="B22:C22">
    <cfRule type="expression" dxfId="1053" priority="316">
      <formula>WEEKDAY($A22,2)&gt;5</formula>
    </cfRule>
  </conditionalFormatting>
  <conditionalFormatting sqref="B22:C22">
    <cfRule type="expression" dxfId="1052" priority="315">
      <formula>WEEKDAY($A22,2)&gt;5</formula>
    </cfRule>
  </conditionalFormatting>
  <conditionalFormatting sqref="B22:C22">
    <cfRule type="expression" dxfId="1051" priority="314">
      <formula>$M22="frei"</formula>
    </cfRule>
  </conditionalFormatting>
  <conditionalFormatting sqref="C22">
    <cfRule type="expression" dxfId="1050" priority="313">
      <formula>WEEKDAY($A22,2)&gt;5</formula>
    </cfRule>
  </conditionalFormatting>
  <conditionalFormatting sqref="C22">
    <cfRule type="expression" dxfId="1049" priority="312">
      <formula>$M22="frei"</formula>
    </cfRule>
  </conditionalFormatting>
  <conditionalFormatting sqref="B25:C25">
    <cfRule type="expression" dxfId="1048" priority="311">
      <formula>WEEKDAY($A25,2)&gt;5</formula>
    </cfRule>
  </conditionalFormatting>
  <conditionalFormatting sqref="B25:C25">
    <cfRule type="expression" dxfId="1047" priority="310">
      <formula>$M25="frei"</formula>
    </cfRule>
  </conditionalFormatting>
  <conditionalFormatting sqref="B25:C25">
    <cfRule type="expression" dxfId="1046" priority="309">
      <formula>WEEKDAY($A25,2)&gt;5</formula>
    </cfRule>
  </conditionalFormatting>
  <conditionalFormatting sqref="B25:C25">
    <cfRule type="expression" dxfId="1045" priority="308">
      <formula>WEEKDAY($A25,2)&gt;5</formula>
    </cfRule>
  </conditionalFormatting>
  <conditionalFormatting sqref="B25:C25">
    <cfRule type="expression" dxfId="1044" priority="307">
      <formula>$M25="frei"</formula>
    </cfRule>
  </conditionalFormatting>
  <conditionalFormatting sqref="B25:C25">
    <cfRule type="expression" dxfId="1043" priority="306">
      <formula>WEEKDAY($A25,2)&gt;5</formula>
    </cfRule>
  </conditionalFormatting>
  <conditionalFormatting sqref="B25:C25">
    <cfRule type="expression" dxfId="1042" priority="305">
      <formula>WEEKDAY($A25,2)&gt;5</formula>
    </cfRule>
  </conditionalFormatting>
  <conditionalFormatting sqref="B25:C25">
    <cfRule type="expression" dxfId="1041" priority="304">
      <formula>$M25="frei"</formula>
    </cfRule>
  </conditionalFormatting>
  <conditionalFormatting sqref="C25">
    <cfRule type="expression" dxfId="1040" priority="303">
      <formula>WEEKDAY($A25,2)&gt;5</formula>
    </cfRule>
  </conditionalFormatting>
  <conditionalFormatting sqref="C25">
    <cfRule type="expression" dxfId="1039" priority="302">
      <formula>$M25="frei"</formula>
    </cfRule>
  </conditionalFormatting>
  <conditionalFormatting sqref="B26:C26">
    <cfRule type="expression" dxfId="1038" priority="301">
      <formula>WEEKDAY($A26,2)&gt;5</formula>
    </cfRule>
  </conditionalFormatting>
  <conditionalFormatting sqref="B26:C26">
    <cfRule type="expression" dxfId="1037" priority="300">
      <formula>$M26="frei"</formula>
    </cfRule>
  </conditionalFormatting>
  <conditionalFormatting sqref="B26:C26">
    <cfRule type="expression" dxfId="1036" priority="299">
      <formula>WEEKDAY($A26,2)&gt;5</formula>
    </cfRule>
  </conditionalFormatting>
  <conditionalFormatting sqref="B26:C26">
    <cfRule type="expression" dxfId="1035" priority="298">
      <formula>WEEKDAY($A26,2)&gt;5</formula>
    </cfRule>
  </conditionalFormatting>
  <conditionalFormatting sqref="B26:C26">
    <cfRule type="expression" dxfId="1034" priority="297">
      <formula>$M26="frei"</formula>
    </cfRule>
  </conditionalFormatting>
  <conditionalFormatting sqref="B26:C26">
    <cfRule type="expression" dxfId="1033" priority="296">
      <formula>WEEKDAY($A26,2)&gt;5</formula>
    </cfRule>
  </conditionalFormatting>
  <conditionalFormatting sqref="B26:C26">
    <cfRule type="expression" dxfId="1032" priority="295">
      <formula>WEEKDAY($A26,2)&gt;5</formula>
    </cfRule>
  </conditionalFormatting>
  <conditionalFormatting sqref="B26:C26">
    <cfRule type="expression" dxfId="1031" priority="294">
      <formula>$M26="frei"</formula>
    </cfRule>
  </conditionalFormatting>
  <conditionalFormatting sqref="C26">
    <cfRule type="expression" dxfId="1030" priority="293">
      <formula>WEEKDAY($A26,2)&gt;5</formula>
    </cfRule>
  </conditionalFormatting>
  <conditionalFormatting sqref="C26">
    <cfRule type="expression" dxfId="1029" priority="292">
      <formula>$M26="frei"</formula>
    </cfRule>
  </conditionalFormatting>
  <conditionalFormatting sqref="B27:C27">
    <cfRule type="expression" dxfId="1028" priority="291">
      <formula>WEEKDAY($A27,2)&gt;5</formula>
    </cfRule>
  </conditionalFormatting>
  <conditionalFormatting sqref="B27:C27">
    <cfRule type="expression" dxfId="1027" priority="290">
      <formula>$M27="frei"</formula>
    </cfRule>
  </conditionalFormatting>
  <conditionalFormatting sqref="B27:C27">
    <cfRule type="expression" dxfId="1026" priority="289">
      <formula>WEEKDAY($A27,2)&gt;5</formula>
    </cfRule>
  </conditionalFormatting>
  <conditionalFormatting sqref="B27:C27">
    <cfRule type="expression" dxfId="1025" priority="288">
      <formula>WEEKDAY($A27,2)&gt;5</formula>
    </cfRule>
  </conditionalFormatting>
  <conditionalFormatting sqref="B27:C27">
    <cfRule type="expression" dxfId="1024" priority="287">
      <formula>$M27="frei"</formula>
    </cfRule>
  </conditionalFormatting>
  <conditionalFormatting sqref="B27:C27">
    <cfRule type="expression" dxfId="1023" priority="286">
      <formula>WEEKDAY($A27,2)&gt;5</formula>
    </cfRule>
  </conditionalFormatting>
  <conditionalFormatting sqref="B27:C27">
    <cfRule type="expression" dxfId="1022" priority="285">
      <formula>WEEKDAY($A27,2)&gt;5</formula>
    </cfRule>
  </conditionalFormatting>
  <conditionalFormatting sqref="B27:C27">
    <cfRule type="expression" dxfId="1021" priority="284">
      <formula>$M27="frei"</formula>
    </cfRule>
  </conditionalFormatting>
  <conditionalFormatting sqref="C27">
    <cfRule type="expression" dxfId="1020" priority="283">
      <formula>WEEKDAY($A27,2)&gt;5</formula>
    </cfRule>
  </conditionalFormatting>
  <conditionalFormatting sqref="C27">
    <cfRule type="expression" dxfId="1019" priority="282">
      <formula>$M27="frei"</formula>
    </cfRule>
  </conditionalFormatting>
  <conditionalFormatting sqref="B28:C28">
    <cfRule type="expression" dxfId="1018" priority="281">
      <formula>WEEKDAY($A28,2)&gt;5</formula>
    </cfRule>
  </conditionalFormatting>
  <conditionalFormatting sqref="B28:C28">
    <cfRule type="expression" dxfId="1017" priority="280">
      <formula>$M28="frei"</formula>
    </cfRule>
  </conditionalFormatting>
  <conditionalFormatting sqref="B28:C28">
    <cfRule type="expression" dxfId="1016" priority="279">
      <formula>WEEKDAY($A28,2)&gt;5</formula>
    </cfRule>
  </conditionalFormatting>
  <conditionalFormatting sqref="B28:C28">
    <cfRule type="expression" dxfId="1015" priority="278">
      <formula>WEEKDAY($A28,2)&gt;5</formula>
    </cfRule>
  </conditionalFormatting>
  <conditionalFormatting sqref="B28:C28">
    <cfRule type="expression" dxfId="1014" priority="277">
      <formula>$M28="frei"</formula>
    </cfRule>
  </conditionalFormatting>
  <conditionalFormatting sqref="B28:C28">
    <cfRule type="expression" dxfId="1013" priority="276">
      <formula>WEEKDAY($A28,2)&gt;5</formula>
    </cfRule>
  </conditionalFormatting>
  <conditionalFormatting sqref="B28:C28">
    <cfRule type="expression" dxfId="1012" priority="275">
      <formula>WEEKDAY($A28,2)&gt;5</formula>
    </cfRule>
  </conditionalFormatting>
  <conditionalFormatting sqref="B28:C28">
    <cfRule type="expression" dxfId="1011" priority="274">
      <formula>$M28="frei"</formula>
    </cfRule>
  </conditionalFormatting>
  <conditionalFormatting sqref="C28">
    <cfRule type="expression" dxfId="1010" priority="273">
      <formula>WEEKDAY($A28,2)&gt;5</formula>
    </cfRule>
  </conditionalFormatting>
  <conditionalFormatting sqref="C28">
    <cfRule type="expression" dxfId="1009" priority="272">
      <formula>$M28="frei"</formula>
    </cfRule>
  </conditionalFormatting>
  <conditionalFormatting sqref="B29:C29">
    <cfRule type="expression" dxfId="1008" priority="271">
      <formula>WEEKDAY($A29,2)&gt;5</formula>
    </cfRule>
  </conditionalFormatting>
  <conditionalFormatting sqref="B29:C29">
    <cfRule type="expression" dxfId="1007" priority="270">
      <formula>$M29="frei"</formula>
    </cfRule>
  </conditionalFormatting>
  <conditionalFormatting sqref="B29:C29">
    <cfRule type="expression" dxfId="1006" priority="269">
      <formula>WEEKDAY($A29,2)&gt;5</formula>
    </cfRule>
  </conditionalFormatting>
  <conditionalFormatting sqref="B29:C29">
    <cfRule type="expression" dxfId="1005" priority="268">
      <formula>WEEKDAY($A29,2)&gt;5</formula>
    </cfRule>
  </conditionalFormatting>
  <conditionalFormatting sqref="B29:C29">
    <cfRule type="expression" dxfId="1004" priority="267">
      <formula>$M29="frei"</formula>
    </cfRule>
  </conditionalFormatting>
  <conditionalFormatting sqref="B29:C29">
    <cfRule type="expression" dxfId="1003" priority="266">
      <formula>WEEKDAY($A29,2)&gt;5</formula>
    </cfRule>
  </conditionalFormatting>
  <conditionalFormatting sqref="B29:C29">
    <cfRule type="expression" dxfId="1002" priority="265">
      <formula>WEEKDAY($A29,2)&gt;5</formula>
    </cfRule>
  </conditionalFormatting>
  <conditionalFormatting sqref="B29:C29">
    <cfRule type="expression" dxfId="1001" priority="264">
      <formula>$M29="frei"</formula>
    </cfRule>
  </conditionalFormatting>
  <conditionalFormatting sqref="C29">
    <cfRule type="expression" dxfId="1000" priority="263">
      <formula>WEEKDAY($A29,2)&gt;5</formula>
    </cfRule>
  </conditionalFormatting>
  <conditionalFormatting sqref="C29">
    <cfRule type="expression" dxfId="999" priority="262">
      <formula>$M29="frei"</formula>
    </cfRule>
  </conditionalFormatting>
  <conditionalFormatting sqref="B32:C32">
    <cfRule type="expression" dxfId="998" priority="261">
      <formula>WEEKDAY($A32,2)&gt;5</formula>
    </cfRule>
  </conditionalFormatting>
  <conditionalFormatting sqref="B32:C32">
    <cfRule type="expression" dxfId="997" priority="260">
      <formula>$M32="frei"</formula>
    </cfRule>
  </conditionalFormatting>
  <conditionalFormatting sqref="B32:C32">
    <cfRule type="expression" dxfId="996" priority="259">
      <formula>WEEKDAY($A32,2)&gt;5</formula>
    </cfRule>
  </conditionalFormatting>
  <conditionalFormatting sqref="B32:C32">
    <cfRule type="expression" dxfId="995" priority="258">
      <formula>WEEKDAY($A32,2)&gt;5</formula>
    </cfRule>
  </conditionalFormatting>
  <conditionalFormatting sqref="B32:C32">
    <cfRule type="expression" dxfId="994" priority="257">
      <formula>$M32="frei"</formula>
    </cfRule>
  </conditionalFormatting>
  <conditionalFormatting sqref="B32:C32">
    <cfRule type="expression" dxfId="993" priority="256">
      <formula>WEEKDAY($A32,2)&gt;5</formula>
    </cfRule>
  </conditionalFormatting>
  <conditionalFormatting sqref="B32:C32">
    <cfRule type="expression" dxfId="992" priority="255">
      <formula>WEEKDAY($A32,2)&gt;5</formula>
    </cfRule>
  </conditionalFormatting>
  <conditionalFormatting sqref="B32:C32">
    <cfRule type="expression" dxfId="991" priority="254">
      <formula>$M32="frei"</formula>
    </cfRule>
  </conditionalFormatting>
  <conditionalFormatting sqref="C32">
    <cfRule type="expression" dxfId="990" priority="253">
      <formula>WEEKDAY($A32,2)&gt;5</formula>
    </cfRule>
  </conditionalFormatting>
  <conditionalFormatting sqref="C32">
    <cfRule type="expression" dxfId="989" priority="252">
      <formula>$M32="frei"</formula>
    </cfRule>
  </conditionalFormatting>
  <conditionalFormatting sqref="B33:C33">
    <cfRule type="expression" dxfId="988" priority="251">
      <formula>WEEKDAY($A33,2)&gt;5</formula>
    </cfRule>
  </conditionalFormatting>
  <conditionalFormatting sqref="B33:C33">
    <cfRule type="expression" dxfId="987" priority="250">
      <formula>$M33="frei"</formula>
    </cfRule>
  </conditionalFormatting>
  <conditionalFormatting sqref="B33:C33">
    <cfRule type="expression" dxfId="986" priority="249">
      <formula>WEEKDAY($A33,2)&gt;5</formula>
    </cfRule>
  </conditionalFormatting>
  <conditionalFormatting sqref="B33:C33">
    <cfRule type="expression" dxfId="985" priority="248">
      <formula>WEEKDAY($A33,2)&gt;5</formula>
    </cfRule>
  </conditionalFormatting>
  <conditionalFormatting sqref="B33:C33">
    <cfRule type="expression" dxfId="984" priority="247">
      <formula>$M33="frei"</formula>
    </cfRule>
  </conditionalFormatting>
  <conditionalFormatting sqref="B33:C33">
    <cfRule type="expression" dxfId="983" priority="246">
      <formula>WEEKDAY($A33,2)&gt;5</formula>
    </cfRule>
  </conditionalFormatting>
  <conditionalFormatting sqref="B33:C33">
    <cfRule type="expression" dxfId="982" priority="245">
      <formula>WEEKDAY($A33,2)&gt;5</formula>
    </cfRule>
  </conditionalFormatting>
  <conditionalFormatting sqref="B33:C33">
    <cfRule type="expression" dxfId="981" priority="244">
      <formula>$M33="frei"</formula>
    </cfRule>
  </conditionalFormatting>
  <conditionalFormatting sqref="C33">
    <cfRule type="expression" dxfId="980" priority="243">
      <formula>WEEKDAY($A33,2)&gt;5</formula>
    </cfRule>
  </conditionalFormatting>
  <conditionalFormatting sqref="C33">
    <cfRule type="expression" dxfId="979" priority="242">
      <formula>$M33="frei"</formula>
    </cfRule>
  </conditionalFormatting>
  <conditionalFormatting sqref="B34:C34">
    <cfRule type="expression" dxfId="978" priority="241">
      <formula>WEEKDAY($A34,2)&gt;5</formula>
    </cfRule>
  </conditionalFormatting>
  <conditionalFormatting sqref="B34:C34">
    <cfRule type="expression" dxfId="977" priority="240">
      <formula>$M34="frei"</formula>
    </cfRule>
  </conditionalFormatting>
  <conditionalFormatting sqref="B34:C34">
    <cfRule type="expression" dxfId="976" priority="239">
      <formula>WEEKDAY($A34,2)&gt;5</formula>
    </cfRule>
  </conditionalFormatting>
  <conditionalFormatting sqref="B34:C34">
    <cfRule type="expression" dxfId="975" priority="238">
      <formula>WEEKDAY($A34,2)&gt;5</formula>
    </cfRule>
  </conditionalFormatting>
  <conditionalFormatting sqref="B34:C34">
    <cfRule type="expression" dxfId="974" priority="237">
      <formula>$M34="frei"</formula>
    </cfRule>
  </conditionalFormatting>
  <conditionalFormatting sqref="B34:C34">
    <cfRule type="expression" dxfId="973" priority="236">
      <formula>WEEKDAY($A34,2)&gt;5</formula>
    </cfRule>
  </conditionalFormatting>
  <conditionalFormatting sqref="B34:C34">
    <cfRule type="expression" dxfId="972" priority="235">
      <formula>WEEKDAY($A34,2)&gt;5</formula>
    </cfRule>
  </conditionalFormatting>
  <conditionalFormatting sqref="B34:C34">
    <cfRule type="expression" dxfId="971" priority="234">
      <formula>$M34="frei"</formula>
    </cfRule>
  </conditionalFormatting>
  <conditionalFormatting sqref="C34">
    <cfRule type="expression" dxfId="970" priority="233">
      <formula>WEEKDAY($A34,2)&gt;5</formula>
    </cfRule>
  </conditionalFormatting>
  <conditionalFormatting sqref="C34">
    <cfRule type="expression" dxfId="969" priority="232">
      <formula>$M34="frei"</formula>
    </cfRule>
  </conditionalFormatting>
  <conditionalFormatting sqref="B35:C35">
    <cfRule type="expression" dxfId="968" priority="231">
      <formula>WEEKDAY($A35,2)&gt;5</formula>
    </cfRule>
  </conditionalFormatting>
  <conditionalFormatting sqref="B35:C35">
    <cfRule type="expression" dxfId="967" priority="230">
      <formula>$M35="frei"</formula>
    </cfRule>
  </conditionalFormatting>
  <conditionalFormatting sqref="B35:C35">
    <cfRule type="expression" dxfId="966" priority="229">
      <formula>WEEKDAY($A35,2)&gt;5</formula>
    </cfRule>
  </conditionalFormatting>
  <conditionalFormatting sqref="B35:C35">
    <cfRule type="expression" dxfId="965" priority="228">
      <formula>WEEKDAY($A35,2)&gt;5</formula>
    </cfRule>
  </conditionalFormatting>
  <conditionalFormatting sqref="B35:C35">
    <cfRule type="expression" dxfId="964" priority="227">
      <formula>$M35="frei"</formula>
    </cfRule>
  </conditionalFormatting>
  <conditionalFormatting sqref="B35:C35">
    <cfRule type="expression" dxfId="963" priority="226">
      <formula>WEEKDAY($A35,2)&gt;5</formula>
    </cfRule>
  </conditionalFormatting>
  <conditionalFormatting sqref="B35:C35">
    <cfRule type="expression" dxfId="962" priority="225">
      <formula>WEEKDAY($A35,2)&gt;5</formula>
    </cfRule>
  </conditionalFormatting>
  <conditionalFormatting sqref="B35:C35">
    <cfRule type="expression" dxfId="961" priority="224">
      <formula>$M35="frei"</formula>
    </cfRule>
  </conditionalFormatting>
  <conditionalFormatting sqref="C35">
    <cfRule type="expression" dxfId="960" priority="223">
      <formula>WEEKDAY($A35,2)&gt;5</formula>
    </cfRule>
  </conditionalFormatting>
  <conditionalFormatting sqref="C35">
    <cfRule type="expression" dxfId="959" priority="222">
      <formula>$M35="frei"</formula>
    </cfRule>
  </conditionalFormatting>
  <conditionalFormatting sqref="B36:C36">
    <cfRule type="expression" dxfId="958" priority="221">
      <formula>WEEKDAY($A36,2)&gt;5</formula>
    </cfRule>
  </conditionalFormatting>
  <conditionalFormatting sqref="B36:C36">
    <cfRule type="expression" dxfId="957" priority="220">
      <formula>$M36="frei"</formula>
    </cfRule>
  </conditionalFormatting>
  <conditionalFormatting sqref="B36:C36">
    <cfRule type="expression" dxfId="956" priority="219">
      <formula>WEEKDAY($A36,2)&gt;5</formula>
    </cfRule>
  </conditionalFormatting>
  <conditionalFormatting sqref="B36:C36">
    <cfRule type="expression" dxfId="955" priority="218">
      <formula>WEEKDAY($A36,2)&gt;5</formula>
    </cfRule>
  </conditionalFormatting>
  <conditionalFormatting sqref="B36:C36">
    <cfRule type="expression" dxfId="954" priority="217">
      <formula>$M36="frei"</formula>
    </cfRule>
  </conditionalFormatting>
  <conditionalFormatting sqref="B36:C36">
    <cfRule type="expression" dxfId="953" priority="216">
      <formula>WEEKDAY($A36,2)&gt;5</formula>
    </cfRule>
  </conditionalFormatting>
  <conditionalFormatting sqref="B36:C36">
    <cfRule type="expression" dxfId="952" priority="215">
      <formula>WEEKDAY($A36,2)&gt;5</formula>
    </cfRule>
  </conditionalFormatting>
  <conditionalFormatting sqref="B36:C36">
    <cfRule type="expression" dxfId="951" priority="214">
      <formula>$M36="frei"</formula>
    </cfRule>
  </conditionalFormatting>
  <conditionalFormatting sqref="C36">
    <cfRule type="expression" dxfId="950" priority="213">
      <formula>WEEKDAY($A36,2)&gt;5</formula>
    </cfRule>
  </conditionalFormatting>
  <conditionalFormatting sqref="C36">
    <cfRule type="expression" dxfId="949" priority="212">
      <formula>$M36="frei"</formula>
    </cfRule>
  </conditionalFormatting>
  <conditionalFormatting sqref="B39:C39">
    <cfRule type="expression" dxfId="948" priority="211">
      <formula>WEEKDAY($A39,2)&gt;5</formula>
    </cfRule>
  </conditionalFormatting>
  <conditionalFormatting sqref="B39:C39">
    <cfRule type="expression" dxfId="947" priority="210">
      <formula>$M39="frei"</formula>
    </cfRule>
  </conditionalFormatting>
  <conditionalFormatting sqref="B39:C39">
    <cfRule type="expression" dxfId="946" priority="209">
      <formula>WEEKDAY($A39,2)&gt;5</formula>
    </cfRule>
  </conditionalFormatting>
  <conditionalFormatting sqref="B39:C39">
    <cfRule type="expression" dxfId="945" priority="208">
      <formula>WEEKDAY($A39,2)&gt;5</formula>
    </cfRule>
  </conditionalFormatting>
  <conditionalFormatting sqref="B39:C39">
    <cfRule type="expression" dxfId="944" priority="207">
      <formula>$M39="frei"</formula>
    </cfRule>
  </conditionalFormatting>
  <conditionalFormatting sqref="B39:C39">
    <cfRule type="expression" dxfId="943" priority="206">
      <formula>WEEKDAY($A39,2)&gt;5</formula>
    </cfRule>
  </conditionalFormatting>
  <conditionalFormatting sqref="B39:C39">
    <cfRule type="expression" dxfId="942" priority="205">
      <formula>WEEKDAY($A39,2)&gt;5</formula>
    </cfRule>
  </conditionalFormatting>
  <conditionalFormatting sqref="B39:C39">
    <cfRule type="expression" dxfId="941" priority="204">
      <formula>$M39="frei"</formula>
    </cfRule>
  </conditionalFormatting>
  <conditionalFormatting sqref="C39">
    <cfRule type="expression" dxfId="940" priority="203">
      <formula>WEEKDAY($A39,2)&gt;5</formula>
    </cfRule>
  </conditionalFormatting>
  <conditionalFormatting sqref="C39">
    <cfRule type="expression" dxfId="939" priority="202">
      <formula>$M39="frei"</formula>
    </cfRule>
  </conditionalFormatting>
  <conditionalFormatting sqref="B40:C40">
    <cfRule type="expression" dxfId="938" priority="201">
      <formula>WEEKDAY($A40,2)&gt;5</formula>
    </cfRule>
  </conditionalFormatting>
  <conditionalFormatting sqref="B40:C40">
    <cfRule type="expression" dxfId="937" priority="200">
      <formula>$M40="frei"</formula>
    </cfRule>
  </conditionalFormatting>
  <conditionalFormatting sqref="B40:C40">
    <cfRule type="expression" dxfId="936" priority="199">
      <formula>WEEKDAY($A40,2)&gt;5</formula>
    </cfRule>
  </conditionalFormatting>
  <conditionalFormatting sqref="B40:C40">
    <cfRule type="expression" dxfId="935" priority="198">
      <formula>WEEKDAY($A40,2)&gt;5</formula>
    </cfRule>
  </conditionalFormatting>
  <conditionalFormatting sqref="B40:C40">
    <cfRule type="expression" dxfId="934" priority="197">
      <formula>$M40="frei"</formula>
    </cfRule>
  </conditionalFormatting>
  <conditionalFormatting sqref="B40:C40">
    <cfRule type="expression" dxfId="933" priority="196">
      <formula>WEEKDAY($A40,2)&gt;5</formula>
    </cfRule>
  </conditionalFormatting>
  <conditionalFormatting sqref="B40:C40">
    <cfRule type="expression" dxfId="932" priority="195">
      <formula>WEEKDAY($A40,2)&gt;5</formula>
    </cfRule>
  </conditionalFormatting>
  <conditionalFormatting sqref="B40:C40">
    <cfRule type="expression" dxfId="931" priority="194">
      <formula>$M40="frei"</formula>
    </cfRule>
  </conditionalFormatting>
  <conditionalFormatting sqref="C40">
    <cfRule type="expression" dxfId="930" priority="193">
      <formula>WEEKDAY($A40,2)&gt;5</formula>
    </cfRule>
  </conditionalFormatting>
  <conditionalFormatting sqref="C40">
    <cfRule type="expression" dxfId="929" priority="192">
      <formula>$M40="frei"</formula>
    </cfRule>
  </conditionalFormatting>
  <conditionalFormatting sqref="K17:K18">
    <cfRule type="expression" dxfId="928" priority="191">
      <formula>WEEKDAY($A17,2)&gt;5</formula>
    </cfRule>
  </conditionalFormatting>
  <conditionalFormatting sqref="K19:K20">
    <cfRule type="expression" dxfId="927" priority="190">
      <formula>WEEKDAY($A19,2)&gt;5</formula>
    </cfRule>
  </conditionalFormatting>
  <conditionalFormatting sqref="K18">
    <cfRule type="expression" dxfId="926" priority="189">
      <formula>WEEKDAY($A18,2)&gt;5</formula>
    </cfRule>
  </conditionalFormatting>
  <conditionalFormatting sqref="K18">
    <cfRule type="expression" dxfId="925" priority="188">
      <formula>WEEKDAY($A18,2)&gt;5</formula>
    </cfRule>
  </conditionalFormatting>
  <conditionalFormatting sqref="K20">
    <cfRule type="expression" dxfId="924" priority="187">
      <formula>WEEKDAY($A20,2)&gt;5</formula>
    </cfRule>
  </conditionalFormatting>
  <conditionalFormatting sqref="K20">
    <cfRule type="expression" dxfId="923" priority="186">
      <formula>WEEKDAY($A20,2)&gt;5</formula>
    </cfRule>
  </conditionalFormatting>
  <conditionalFormatting sqref="K20">
    <cfRule type="expression" dxfId="922" priority="185">
      <formula>WEEKDAY($A20,2)&gt;5</formula>
    </cfRule>
  </conditionalFormatting>
  <conditionalFormatting sqref="K19">
    <cfRule type="expression" dxfId="921" priority="184">
      <formula>WEEKDAY($A19,2)&gt;5</formula>
    </cfRule>
  </conditionalFormatting>
  <conditionalFormatting sqref="K19">
    <cfRule type="expression" dxfId="920" priority="183">
      <formula>WEEKDAY($A19,2)&gt;5</formula>
    </cfRule>
  </conditionalFormatting>
  <conditionalFormatting sqref="K19">
    <cfRule type="expression" dxfId="919" priority="182">
      <formula>WEEKDAY($A19,2)&gt;5</formula>
    </cfRule>
  </conditionalFormatting>
  <conditionalFormatting sqref="K24:K25">
    <cfRule type="expression" dxfId="918" priority="181">
      <formula>WEEKDAY($A24,2)&gt;5</formula>
    </cfRule>
  </conditionalFormatting>
  <conditionalFormatting sqref="K25">
    <cfRule type="expression" dxfId="917" priority="180">
      <formula>WEEKDAY($A25,2)&gt;5</formula>
    </cfRule>
  </conditionalFormatting>
  <conditionalFormatting sqref="K25">
    <cfRule type="expression" dxfId="916" priority="179">
      <formula>WEEKDAY($A25,2)&gt;5</formula>
    </cfRule>
  </conditionalFormatting>
  <conditionalFormatting sqref="K27">
    <cfRule type="expression" dxfId="915" priority="178">
      <formula>WEEKDAY($A27,2)&gt;5</formula>
    </cfRule>
  </conditionalFormatting>
  <conditionalFormatting sqref="K27">
    <cfRule type="expression" dxfId="914" priority="177">
      <formula>WEEKDAY($A27,2)&gt;5</formula>
    </cfRule>
  </conditionalFormatting>
  <conditionalFormatting sqref="K27">
    <cfRule type="expression" dxfId="913" priority="176">
      <formula>WEEKDAY($A27,2)&gt;5</formula>
    </cfRule>
  </conditionalFormatting>
  <conditionalFormatting sqref="K26">
    <cfRule type="expression" dxfId="912" priority="175">
      <formula>WEEKDAY($A26,2)&gt;5</formula>
    </cfRule>
  </conditionalFormatting>
  <conditionalFormatting sqref="K26">
    <cfRule type="expression" dxfId="911" priority="174">
      <formula>WEEKDAY($A26,2)&gt;5</formula>
    </cfRule>
  </conditionalFormatting>
  <conditionalFormatting sqref="K26">
    <cfRule type="expression" dxfId="910" priority="173">
      <formula>WEEKDAY($A26,2)&gt;5</formula>
    </cfRule>
  </conditionalFormatting>
  <conditionalFormatting sqref="K31:K32">
    <cfRule type="expression" dxfId="909" priority="172">
      <formula>WEEKDAY($A31,2)&gt;5</formula>
    </cfRule>
  </conditionalFormatting>
  <conditionalFormatting sqref="K32">
    <cfRule type="expression" dxfId="908" priority="171">
      <formula>WEEKDAY($A32,2)&gt;5</formula>
    </cfRule>
  </conditionalFormatting>
  <conditionalFormatting sqref="K32">
    <cfRule type="expression" dxfId="907" priority="170">
      <formula>WEEKDAY($A32,2)&gt;5</formula>
    </cfRule>
  </conditionalFormatting>
  <conditionalFormatting sqref="K34">
    <cfRule type="expression" dxfId="906" priority="169">
      <formula>WEEKDAY($A34,2)&gt;5</formula>
    </cfRule>
  </conditionalFormatting>
  <conditionalFormatting sqref="K34">
    <cfRule type="expression" dxfId="905" priority="168">
      <formula>WEEKDAY($A34,2)&gt;5</formula>
    </cfRule>
  </conditionalFormatting>
  <conditionalFormatting sqref="K34">
    <cfRule type="expression" dxfId="904" priority="167">
      <formula>WEEKDAY($A34,2)&gt;5</formula>
    </cfRule>
  </conditionalFormatting>
  <conditionalFormatting sqref="K33">
    <cfRule type="expression" dxfId="903" priority="166">
      <formula>WEEKDAY($A33,2)&gt;5</formula>
    </cfRule>
  </conditionalFormatting>
  <conditionalFormatting sqref="K33">
    <cfRule type="expression" dxfId="902" priority="165">
      <formula>WEEKDAY($A33,2)&gt;5</formula>
    </cfRule>
  </conditionalFormatting>
  <conditionalFormatting sqref="K33">
    <cfRule type="expression" dxfId="901" priority="164">
      <formula>WEEKDAY($A33,2)&gt;5</formula>
    </cfRule>
  </conditionalFormatting>
  <conditionalFormatting sqref="K38:K39">
    <cfRule type="expression" dxfId="900" priority="163">
      <formula>WEEKDAY($A38,2)&gt;5</formula>
    </cfRule>
  </conditionalFormatting>
  <conditionalFormatting sqref="K40:K41">
    <cfRule type="expression" dxfId="899" priority="162">
      <formula>WEEKDAY($A40,2)&gt;5</formula>
    </cfRule>
  </conditionalFormatting>
  <conditionalFormatting sqref="K39">
    <cfRule type="expression" dxfId="898" priority="161">
      <formula>WEEKDAY($A39,2)&gt;5</formula>
    </cfRule>
  </conditionalFormatting>
  <conditionalFormatting sqref="K39">
    <cfRule type="expression" dxfId="897" priority="160">
      <formula>WEEKDAY($A39,2)&gt;5</formula>
    </cfRule>
  </conditionalFormatting>
  <conditionalFormatting sqref="K41">
    <cfRule type="expression" dxfId="896" priority="159">
      <formula>WEEKDAY($A41,2)&gt;5</formula>
    </cfRule>
  </conditionalFormatting>
  <conditionalFormatting sqref="K41">
    <cfRule type="expression" dxfId="895" priority="158">
      <formula>WEEKDAY($A41,2)&gt;5</formula>
    </cfRule>
  </conditionalFormatting>
  <conditionalFormatting sqref="K41">
    <cfRule type="expression" dxfId="894" priority="157">
      <formula>WEEKDAY($A41,2)&gt;5</formula>
    </cfRule>
  </conditionalFormatting>
  <conditionalFormatting sqref="K40">
    <cfRule type="expression" dxfId="893" priority="156">
      <formula>WEEKDAY($A40,2)&gt;5</formula>
    </cfRule>
  </conditionalFormatting>
  <conditionalFormatting sqref="K40">
    <cfRule type="expression" dxfId="892" priority="155">
      <formula>WEEKDAY($A40,2)&gt;5</formula>
    </cfRule>
  </conditionalFormatting>
  <conditionalFormatting sqref="K40">
    <cfRule type="expression" dxfId="891" priority="154">
      <formula>WEEKDAY($A40,2)&gt;5</formula>
    </cfRule>
  </conditionalFormatting>
  <conditionalFormatting sqref="C12">
    <cfRule type="expression" dxfId="890" priority="152">
      <formula>WEEKDAY($A12,2)&gt;5</formula>
    </cfRule>
  </conditionalFormatting>
  <conditionalFormatting sqref="C12:C14">
    <cfRule type="expression" dxfId="889" priority="153">
      <formula>WEEKDAY($A12,2)&gt;5</formula>
    </cfRule>
  </conditionalFormatting>
  <conditionalFormatting sqref="C13:C14">
    <cfRule type="expression" dxfId="888" priority="151">
      <formula>WEEKDAY($A13,2)&gt;5</formula>
    </cfRule>
  </conditionalFormatting>
  <conditionalFormatting sqref="C13:C14">
    <cfRule type="expression" dxfId="887" priority="150">
      <formula>WEEKDAY($A13,2)&gt;5</formula>
    </cfRule>
  </conditionalFormatting>
  <conditionalFormatting sqref="C13:C14">
    <cfRule type="expression" dxfId="886" priority="149">
      <formula>WEEKDAY($A13,2)&gt;5</formula>
    </cfRule>
  </conditionalFormatting>
  <conditionalFormatting sqref="C13:C14">
    <cfRule type="expression" dxfId="885" priority="148">
      <formula>WEEKDAY($A13,2)&gt;5</formula>
    </cfRule>
  </conditionalFormatting>
  <conditionalFormatting sqref="C13:C14">
    <cfRule type="expression" dxfId="884" priority="147">
      <formula>WEEKDAY($A13,2)&gt;5</formula>
    </cfRule>
  </conditionalFormatting>
  <conditionalFormatting sqref="B13:B14">
    <cfRule type="expression" dxfId="883" priority="146">
      <formula>WEEKDAY($A13,2)&gt;5</formula>
    </cfRule>
  </conditionalFormatting>
  <conditionalFormatting sqref="B13:B14">
    <cfRule type="expression" dxfId="882" priority="145">
      <formula>WEEKDAY($A13,2)&gt;5</formula>
    </cfRule>
  </conditionalFormatting>
  <conditionalFormatting sqref="C14">
    <cfRule type="expression" dxfId="881" priority="144">
      <formula>WEEKDAY($A14,2)&gt;5</formula>
    </cfRule>
  </conditionalFormatting>
  <conditionalFormatting sqref="B18:C18">
    <cfRule type="expression" dxfId="880" priority="143">
      <formula>WEEKDAY($A18,2)&gt;5</formula>
    </cfRule>
  </conditionalFormatting>
  <conditionalFormatting sqref="B19:C20">
    <cfRule type="expression" dxfId="879" priority="142">
      <formula>WEEKDAY($A19,2)&gt;5</formula>
    </cfRule>
  </conditionalFormatting>
  <conditionalFormatting sqref="B18:C18">
    <cfRule type="expression" dxfId="878" priority="141">
      <formula>WEEKDAY($A18,2)&gt;5</formula>
    </cfRule>
  </conditionalFormatting>
  <conditionalFormatting sqref="B18:C18">
    <cfRule type="expression" dxfId="877" priority="140">
      <formula>WEEKDAY($A18,2)&gt;5</formula>
    </cfRule>
  </conditionalFormatting>
  <conditionalFormatting sqref="C19">
    <cfRule type="expression" dxfId="876" priority="139">
      <formula>WEEKDAY($A19,2)&gt;5</formula>
    </cfRule>
  </conditionalFormatting>
  <conditionalFormatting sqref="C18">
    <cfRule type="expression" dxfId="875" priority="138">
      <formula>WEEKDAY($A18,2)&gt;5</formula>
    </cfRule>
  </conditionalFormatting>
  <conditionalFormatting sqref="C18">
    <cfRule type="expression" dxfId="874" priority="137">
      <formula>WEEKDAY($A18,2)&gt;5</formula>
    </cfRule>
  </conditionalFormatting>
  <conditionalFormatting sqref="C18">
    <cfRule type="expression" dxfId="873" priority="136">
      <formula>WEEKDAY($A18,2)&gt;5</formula>
    </cfRule>
  </conditionalFormatting>
  <conditionalFormatting sqref="C18">
    <cfRule type="expression" dxfId="872" priority="135">
      <formula>WEEKDAY($A18,2)&gt;5</formula>
    </cfRule>
  </conditionalFormatting>
  <conditionalFormatting sqref="B20:C20">
    <cfRule type="expression" dxfId="871" priority="134">
      <formula>WEEKDAY($A20,2)&gt;5</formula>
    </cfRule>
  </conditionalFormatting>
  <conditionalFormatting sqref="C20:C21">
    <cfRule type="expression" dxfId="870" priority="133">
      <formula>WEEKDAY($A20,2)&gt;5</formula>
    </cfRule>
  </conditionalFormatting>
  <conditionalFormatting sqref="C20:C21">
    <cfRule type="expression" dxfId="869" priority="132">
      <formula>WEEKDAY($A20,2)&gt;5</formula>
    </cfRule>
  </conditionalFormatting>
  <conditionalFormatting sqref="C18">
    <cfRule type="expression" dxfId="868" priority="130">
      <formula>WEEKDAY($A18,2)&gt;5</formula>
    </cfRule>
  </conditionalFormatting>
  <conditionalFormatting sqref="C18:C21">
    <cfRule type="expression" dxfId="867" priority="131">
      <formula>WEEKDAY($A18,2)&gt;5</formula>
    </cfRule>
  </conditionalFormatting>
  <conditionalFormatting sqref="C19:C21">
    <cfRule type="expression" dxfId="866" priority="129">
      <formula>WEEKDAY($A19,2)&gt;5</formula>
    </cfRule>
  </conditionalFormatting>
  <conditionalFormatting sqref="C19:C21">
    <cfRule type="expression" dxfId="865" priority="128">
      <formula>WEEKDAY($A19,2)&gt;5</formula>
    </cfRule>
  </conditionalFormatting>
  <conditionalFormatting sqref="C19:C21">
    <cfRule type="expression" dxfId="864" priority="127">
      <formula>WEEKDAY($A19,2)&gt;5</formula>
    </cfRule>
  </conditionalFormatting>
  <conditionalFormatting sqref="C19:C21">
    <cfRule type="expression" dxfId="863" priority="126">
      <formula>WEEKDAY($A19,2)&gt;5</formula>
    </cfRule>
  </conditionalFormatting>
  <conditionalFormatting sqref="C19:C21">
    <cfRule type="expression" dxfId="862" priority="125">
      <formula>WEEKDAY($A19,2)&gt;5</formula>
    </cfRule>
  </conditionalFormatting>
  <conditionalFormatting sqref="B19:B21">
    <cfRule type="expression" dxfId="861" priority="124">
      <formula>WEEKDAY($A19,2)&gt;5</formula>
    </cfRule>
  </conditionalFormatting>
  <conditionalFormatting sqref="B19:B21">
    <cfRule type="expression" dxfId="860" priority="123">
      <formula>WEEKDAY($A19,2)&gt;5</formula>
    </cfRule>
  </conditionalFormatting>
  <conditionalFormatting sqref="C20:C21">
    <cfRule type="expression" dxfId="859" priority="122">
      <formula>WEEKDAY($A20,2)&gt;5</formula>
    </cfRule>
  </conditionalFormatting>
  <conditionalFormatting sqref="B25:C25">
    <cfRule type="expression" dxfId="858" priority="121">
      <formula>WEEKDAY($A25,2)&gt;5</formula>
    </cfRule>
  </conditionalFormatting>
  <conditionalFormatting sqref="B25:C25">
    <cfRule type="expression" dxfId="857" priority="120">
      <formula>WEEKDAY($A25,2)&gt;5</formula>
    </cfRule>
  </conditionalFormatting>
  <conditionalFormatting sqref="B25:C25">
    <cfRule type="expression" dxfId="856" priority="119">
      <formula>WEEKDAY($A25,2)&gt;5</formula>
    </cfRule>
  </conditionalFormatting>
  <conditionalFormatting sqref="C26">
    <cfRule type="expression" dxfId="855" priority="118">
      <formula>WEEKDAY($A26,2)&gt;5</formula>
    </cfRule>
  </conditionalFormatting>
  <conditionalFormatting sqref="C25">
    <cfRule type="expression" dxfId="854" priority="117">
      <formula>WEEKDAY($A25,2)&gt;5</formula>
    </cfRule>
  </conditionalFormatting>
  <conditionalFormatting sqref="C25">
    <cfRule type="expression" dxfId="853" priority="116">
      <formula>WEEKDAY($A25,2)&gt;5</formula>
    </cfRule>
  </conditionalFormatting>
  <conditionalFormatting sqref="C25">
    <cfRule type="expression" dxfId="852" priority="115">
      <formula>WEEKDAY($A25,2)&gt;5</formula>
    </cfRule>
  </conditionalFormatting>
  <conditionalFormatting sqref="C25">
    <cfRule type="expression" dxfId="851" priority="114">
      <formula>WEEKDAY($A25,2)&gt;5</formula>
    </cfRule>
  </conditionalFormatting>
  <conditionalFormatting sqref="B27:C27">
    <cfRule type="expression" dxfId="850" priority="113">
      <formula>WEEKDAY($A27,2)&gt;5</formula>
    </cfRule>
  </conditionalFormatting>
  <conditionalFormatting sqref="C27">
    <cfRule type="expression" dxfId="849" priority="112">
      <formula>WEEKDAY($A27,2)&gt;5</formula>
    </cfRule>
  </conditionalFormatting>
  <conditionalFormatting sqref="C27">
    <cfRule type="expression" dxfId="848" priority="111">
      <formula>WEEKDAY($A27,2)&gt;5</formula>
    </cfRule>
  </conditionalFormatting>
  <conditionalFormatting sqref="C25">
    <cfRule type="expression" dxfId="847" priority="109">
      <formula>WEEKDAY($A25,2)&gt;5</formula>
    </cfRule>
  </conditionalFormatting>
  <conditionalFormatting sqref="C25:C27">
    <cfRule type="expression" dxfId="846" priority="110">
      <formula>WEEKDAY($A25,2)&gt;5</formula>
    </cfRule>
  </conditionalFormatting>
  <conditionalFormatting sqref="C26:C27">
    <cfRule type="expression" dxfId="845" priority="108">
      <formula>WEEKDAY($A26,2)&gt;5</formula>
    </cfRule>
  </conditionalFormatting>
  <conditionalFormatting sqref="C26:C27">
    <cfRule type="expression" dxfId="844" priority="107">
      <formula>WEEKDAY($A26,2)&gt;5</formula>
    </cfRule>
  </conditionalFormatting>
  <conditionalFormatting sqref="C26:C27">
    <cfRule type="expression" dxfId="843" priority="106">
      <formula>WEEKDAY($A26,2)&gt;5</formula>
    </cfRule>
  </conditionalFormatting>
  <conditionalFormatting sqref="C26:C27">
    <cfRule type="expression" dxfId="842" priority="105">
      <formula>WEEKDAY($A26,2)&gt;5</formula>
    </cfRule>
  </conditionalFormatting>
  <conditionalFormatting sqref="C26:C27">
    <cfRule type="expression" dxfId="841" priority="104">
      <formula>WEEKDAY($A26,2)&gt;5</formula>
    </cfRule>
  </conditionalFormatting>
  <conditionalFormatting sqref="B26:B27">
    <cfRule type="expression" dxfId="840" priority="103">
      <formula>WEEKDAY($A26,2)&gt;5</formula>
    </cfRule>
  </conditionalFormatting>
  <conditionalFormatting sqref="B26:B27">
    <cfRule type="expression" dxfId="839" priority="102">
      <formula>WEEKDAY($A26,2)&gt;5</formula>
    </cfRule>
  </conditionalFormatting>
  <conditionalFormatting sqref="C27">
    <cfRule type="expression" dxfId="838" priority="101">
      <formula>WEEKDAY($A27,2)&gt;5</formula>
    </cfRule>
  </conditionalFormatting>
  <conditionalFormatting sqref="B21:C21">
    <cfRule type="expression" dxfId="837" priority="100">
      <formula>WEEKDAY($A21,2)&gt;5</formula>
    </cfRule>
  </conditionalFormatting>
  <conditionalFormatting sqref="B21:C21">
    <cfRule type="expression" dxfId="836" priority="99">
      <formula>$M21="frei"</formula>
    </cfRule>
  </conditionalFormatting>
  <conditionalFormatting sqref="B21:C21">
    <cfRule type="expression" dxfId="835" priority="98">
      <formula>WEEKDAY($A21,2)&gt;5</formula>
    </cfRule>
  </conditionalFormatting>
  <conditionalFormatting sqref="B21:C21">
    <cfRule type="expression" dxfId="834" priority="97">
      <formula>WEEKDAY($A21,2)&gt;5</formula>
    </cfRule>
  </conditionalFormatting>
  <conditionalFormatting sqref="B21:C21">
    <cfRule type="expression" dxfId="833" priority="96">
      <formula>$M21="frei"</formula>
    </cfRule>
  </conditionalFormatting>
  <conditionalFormatting sqref="B21:C21">
    <cfRule type="expression" dxfId="832" priority="95">
      <formula>WEEKDAY($A21,2)&gt;5</formula>
    </cfRule>
  </conditionalFormatting>
  <conditionalFormatting sqref="B21:C21">
    <cfRule type="expression" dxfId="831" priority="94">
      <formula>WEEKDAY($A21,2)&gt;5</formula>
    </cfRule>
  </conditionalFormatting>
  <conditionalFormatting sqref="B21:C21">
    <cfRule type="expression" dxfId="830" priority="93">
      <formula>$M21="frei"</formula>
    </cfRule>
  </conditionalFormatting>
  <conditionalFormatting sqref="B21:C21">
    <cfRule type="expression" dxfId="829" priority="92">
      <formula>WEEKDAY($A21,2)&gt;5</formula>
    </cfRule>
  </conditionalFormatting>
  <conditionalFormatting sqref="B21:C21">
    <cfRule type="expression" dxfId="828" priority="91">
      <formula>WEEKDAY($A21,2)&gt;5</formula>
    </cfRule>
  </conditionalFormatting>
  <conditionalFormatting sqref="B32:C33">
    <cfRule type="expression" dxfId="827" priority="90">
      <formula>WEEKDAY($A32,2)&gt;5</formula>
    </cfRule>
  </conditionalFormatting>
  <conditionalFormatting sqref="B31:C31">
    <cfRule type="expression" dxfId="826" priority="89">
      <formula>WEEKDAY($A31,2)&gt;5</formula>
    </cfRule>
  </conditionalFormatting>
  <conditionalFormatting sqref="B32:C32">
    <cfRule type="expression" dxfId="825" priority="88">
      <formula>WEEKDAY($A32,2)&gt;5</formula>
    </cfRule>
  </conditionalFormatting>
  <conditionalFormatting sqref="B31:C34">
    <cfRule type="expression" dxfId="824" priority="87">
      <formula>WEEKDAY($A31,2)&gt;5</formula>
    </cfRule>
  </conditionalFormatting>
  <conditionalFormatting sqref="C31">
    <cfRule type="expression" dxfId="823" priority="86">
      <formula>WEEKDAY($A31,2)&gt;5</formula>
    </cfRule>
  </conditionalFormatting>
  <conditionalFormatting sqref="C31">
    <cfRule type="expression" dxfId="822" priority="85">
      <formula>WEEKDAY($A31,2)&gt;5</formula>
    </cfRule>
  </conditionalFormatting>
  <conditionalFormatting sqref="B32:C32">
    <cfRule type="expression" dxfId="821" priority="84">
      <formula>WEEKDAY($A32,2)&gt;5</formula>
    </cfRule>
  </conditionalFormatting>
  <conditionalFormatting sqref="B33:C33">
    <cfRule type="expression" dxfId="820" priority="83">
      <formula>WEEKDAY($A33,2)&gt;5</formula>
    </cfRule>
  </conditionalFormatting>
  <conditionalFormatting sqref="B32:C32">
    <cfRule type="expression" dxfId="819" priority="82">
      <formula>WEEKDAY($A32,2)&gt;5</formula>
    </cfRule>
  </conditionalFormatting>
  <conditionalFormatting sqref="B32:C33">
    <cfRule type="expression" dxfId="818" priority="81">
      <formula>WEEKDAY($A32,2)&gt;5</formula>
    </cfRule>
  </conditionalFormatting>
  <conditionalFormatting sqref="B33:C33">
    <cfRule type="expression" dxfId="817" priority="80">
      <formula>WEEKDAY($A33,2)&gt;5</formula>
    </cfRule>
  </conditionalFormatting>
  <conditionalFormatting sqref="C32">
    <cfRule type="expression" dxfId="816" priority="79">
      <formula>WEEKDAY($A32,2)&gt;5</formula>
    </cfRule>
  </conditionalFormatting>
  <conditionalFormatting sqref="C32">
    <cfRule type="expression" dxfId="815" priority="78">
      <formula>WEEKDAY($A32,2)&gt;5</formula>
    </cfRule>
  </conditionalFormatting>
  <conditionalFormatting sqref="C32">
    <cfRule type="expression" dxfId="814" priority="77">
      <formula>WEEKDAY($A32,2)&gt;5</formula>
    </cfRule>
  </conditionalFormatting>
  <conditionalFormatting sqref="C32">
    <cfRule type="expression" dxfId="813" priority="76">
      <formula>WEEKDAY($A32,2)&gt;5</formula>
    </cfRule>
  </conditionalFormatting>
  <conditionalFormatting sqref="C33">
    <cfRule type="expression" dxfId="812" priority="75">
      <formula>WEEKDAY($A33,2)&gt;5</formula>
    </cfRule>
  </conditionalFormatting>
  <conditionalFormatting sqref="C33">
    <cfRule type="expression" dxfId="811" priority="74">
      <formula>WEEKDAY($A33,2)&gt;5</formula>
    </cfRule>
  </conditionalFormatting>
  <conditionalFormatting sqref="C33">
    <cfRule type="expression" dxfId="810" priority="73">
      <formula>WEEKDAY($A33,2)&gt;5</formula>
    </cfRule>
  </conditionalFormatting>
  <conditionalFormatting sqref="B32:C32">
    <cfRule type="expression" dxfId="809" priority="72">
      <formula>WEEKDAY($A32,2)&gt;5</formula>
    </cfRule>
  </conditionalFormatting>
  <conditionalFormatting sqref="B33:C33">
    <cfRule type="expression" dxfId="808" priority="71">
      <formula>WEEKDAY($A33,2)&gt;5</formula>
    </cfRule>
  </conditionalFormatting>
  <conditionalFormatting sqref="B34:C34">
    <cfRule type="expression" dxfId="807" priority="70">
      <formula>WEEKDAY($A34,2)&gt;5</formula>
    </cfRule>
  </conditionalFormatting>
  <conditionalFormatting sqref="B32:C32">
    <cfRule type="expression" dxfId="806" priority="69">
      <formula>WEEKDAY($A32,2)&gt;5</formula>
    </cfRule>
  </conditionalFormatting>
  <conditionalFormatting sqref="B32:C32">
    <cfRule type="expression" dxfId="805" priority="68">
      <formula>$M32="frei"</formula>
    </cfRule>
  </conditionalFormatting>
  <conditionalFormatting sqref="B32:C32">
    <cfRule type="expression" dxfId="804" priority="67">
      <formula>WEEKDAY($A32,2)&gt;5</formula>
    </cfRule>
  </conditionalFormatting>
  <conditionalFormatting sqref="B32:C32">
    <cfRule type="expression" dxfId="803" priority="66">
      <formula>WEEKDAY($A32,2)&gt;5</formula>
    </cfRule>
  </conditionalFormatting>
  <conditionalFormatting sqref="B32:C32">
    <cfRule type="expression" dxfId="802" priority="65">
      <formula>$M32="frei"</formula>
    </cfRule>
  </conditionalFormatting>
  <conditionalFormatting sqref="B33:C33">
    <cfRule type="expression" dxfId="801" priority="64">
      <formula>WEEKDAY($A33,2)&gt;5</formula>
    </cfRule>
  </conditionalFormatting>
  <conditionalFormatting sqref="B33:C33">
    <cfRule type="expression" dxfId="800" priority="63">
      <formula>$M33="frei"</formula>
    </cfRule>
  </conditionalFormatting>
  <conditionalFormatting sqref="B33:C33">
    <cfRule type="expression" dxfId="799" priority="62">
      <formula>WEEKDAY($A33,2)&gt;5</formula>
    </cfRule>
  </conditionalFormatting>
  <conditionalFormatting sqref="B33:C33">
    <cfRule type="expression" dxfId="798" priority="61">
      <formula>WEEKDAY($A33,2)&gt;5</formula>
    </cfRule>
  </conditionalFormatting>
  <conditionalFormatting sqref="B33:C33">
    <cfRule type="expression" dxfId="797" priority="60">
      <formula>$M33="frei"</formula>
    </cfRule>
  </conditionalFormatting>
  <conditionalFormatting sqref="B34:C34">
    <cfRule type="expression" dxfId="796" priority="59">
      <formula>WEEKDAY($A34,2)&gt;5</formula>
    </cfRule>
  </conditionalFormatting>
  <conditionalFormatting sqref="B34:C34">
    <cfRule type="expression" dxfId="795" priority="58">
      <formula>$M34="frei"</formula>
    </cfRule>
  </conditionalFormatting>
  <conditionalFormatting sqref="B34:C34">
    <cfRule type="expression" dxfId="794" priority="57">
      <formula>WEEKDAY($A34,2)&gt;5</formula>
    </cfRule>
  </conditionalFormatting>
  <conditionalFormatting sqref="B34:C34">
    <cfRule type="expression" dxfId="793" priority="56">
      <formula>WEEKDAY($A34,2)&gt;5</formula>
    </cfRule>
  </conditionalFormatting>
  <conditionalFormatting sqref="B34:C34">
    <cfRule type="expression" dxfId="792" priority="55">
      <formula>$M34="frei"</formula>
    </cfRule>
  </conditionalFormatting>
  <conditionalFormatting sqref="C32">
    <cfRule type="expression" dxfId="791" priority="54">
      <formula>WEEKDAY($A32,2)&gt;5</formula>
    </cfRule>
  </conditionalFormatting>
  <conditionalFormatting sqref="C33">
    <cfRule type="expression" dxfId="790" priority="53">
      <formula>WEEKDAY($A33,2)&gt;5</formula>
    </cfRule>
  </conditionalFormatting>
  <conditionalFormatting sqref="C34">
    <cfRule type="expression" dxfId="789" priority="52">
      <formula>WEEKDAY($A34,2)&gt;5</formula>
    </cfRule>
  </conditionalFormatting>
  <conditionalFormatting sqref="B32:C32">
    <cfRule type="expression" dxfId="788" priority="51">
      <formula>WEEKDAY($A32,2)&gt;5</formula>
    </cfRule>
  </conditionalFormatting>
  <conditionalFormatting sqref="B32:C32">
    <cfRule type="expression" dxfId="787" priority="50">
      <formula>$M32="frei"</formula>
    </cfRule>
  </conditionalFormatting>
  <conditionalFormatting sqref="B32:C32">
    <cfRule type="expression" dxfId="786" priority="49">
      <formula>WEEKDAY($A32,2)&gt;5</formula>
    </cfRule>
  </conditionalFormatting>
  <conditionalFormatting sqref="B32:C32">
    <cfRule type="expression" dxfId="785" priority="48">
      <formula>WEEKDAY($A32,2)&gt;5</formula>
    </cfRule>
  </conditionalFormatting>
  <conditionalFormatting sqref="B32:C32">
    <cfRule type="expression" dxfId="784" priority="47">
      <formula>$M32="frei"</formula>
    </cfRule>
  </conditionalFormatting>
  <conditionalFormatting sqref="B32:C32">
    <cfRule type="expression" dxfId="783" priority="46">
      <formula>WEEKDAY($A32,2)&gt;5</formula>
    </cfRule>
  </conditionalFormatting>
  <conditionalFormatting sqref="B32:C32">
    <cfRule type="expression" dxfId="782" priority="45">
      <formula>WEEKDAY($A32,2)&gt;5</formula>
    </cfRule>
  </conditionalFormatting>
  <conditionalFormatting sqref="B32:C32">
    <cfRule type="expression" dxfId="781" priority="44">
      <formula>$M32="frei"</formula>
    </cfRule>
  </conditionalFormatting>
  <conditionalFormatting sqref="C32">
    <cfRule type="expression" dxfId="780" priority="43">
      <formula>WEEKDAY($A32,2)&gt;5</formula>
    </cfRule>
  </conditionalFormatting>
  <conditionalFormatting sqref="C32">
    <cfRule type="expression" dxfId="779" priority="42">
      <formula>$M32="frei"</formula>
    </cfRule>
  </conditionalFormatting>
  <conditionalFormatting sqref="B33:C33">
    <cfRule type="expression" dxfId="778" priority="41">
      <formula>WEEKDAY($A33,2)&gt;5</formula>
    </cfRule>
  </conditionalFormatting>
  <conditionalFormatting sqref="B33:C33">
    <cfRule type="expression" dxfId="777" priority="40">
      <formula>$M33="frei"</formula>
    </cfRule>
  </conditionalFormatting>
  <conditionalFormatting sqref="B33:C33">
    <cfRule type="expression" dxfId="776" priority="39">
      <formula>WEEKDAY($A33,2)&gt;5</formula>
    </cfRule>
  </conditionalFormatting>
  <conditionalFormatting sqref="B33:C33">
    <cfRule type="expression" dxfId="775" priority="38">
      <formula>WEEKDAY($A33,2)&gt;5</formula>
    </cfRule>
  </conditionalFormatting>
  <conditionalFormatting sqref="B33:C33">
    <cfRule type="expression" dxfId="774" priority="37">
      <formula>$M33="frei"</formula>
    </cfRule>
  </conditionalFormatting>
  <conditionalFormatting sqref="B33:C33">
    <cfRule type="expression" dxfId="773" priority="36">
      <formula>WEEKDAY($A33,2)&gt;5</formula>
    </cfRule>
  </conditionalFormatting>
  <conditionalFormatting sqref="B33:C33">
    <cfRule type="expression" dxfId="772" priority="35">
      <formula>WEEKDAY($A33,2)&gt;5</formula>
    </cfRule>
  </conditionalFormatting>
  <conditionalFormatting sqref="B33:C33">
    <cfRule type="expression" dxfId="771" priority="34">
      <formula>$M33="frei"</formula>
    </cfRule>
  </conditionalFormatting>
  <conditionalFormatting sqref="C33">
    <cfRule type="expression" dxfId="770" priority="33">
      <formula>WEEKDAY($A33,2)&gt;5</formula>
    </cfRule>
  </conditionalFormatting>
  <conditionalFormatting sqref="C33">
    <cfRule type="expression" dxfId="769" priority="32">
      <formula>$M33="frei"</formula>
    </cfRule>
  </conditionalFormatting>
  <conditionalFormatting sqref="B34:C34">
    <cfRule type="expression" dxfId="768" priority="31">
      <formula>WEEKDAY($A34,2)&gt;5</formula>
    </cfRule>
  </conditionalFormatting>
  <conditionalFormatting sqref="B34:C34">
    <cfRule type="expression" dxfId="767" priority="30">
      <formula>$M34="frei"</formula>
    </cfRule>
  </conditionalFormatting>
  <conditionalFormatting sqref="B34:C34">
    <cfRule type="expression" dxfId="766" priority="29">
      <formula>WEEKDAY($A34,2)&gt;5</formula>
    </cfRule>
  </conditionalFormatting>
  <conditionalFormatting sqref="B34:C34">
    <cfRule type="expression" dxfId="765" priority="28">
      <formula>WEEKDAY($A34,2)&gt;5</formula>
    </cfRule>
  </conditionalFormatting>
  <conditionalFormatting sqref="B34:C34">
    <cfRule type="expression" dxfId="764" priority="27">
      <formula>$M34="frei"</formula>
    </cfRule>
  </conditionalFormatting>
  <conditionalFormatting sqref="B34:C34">
    <cfRule type="expression" dxfId="763" priority="26">
      <formula>WEEKDAY($A34,2)&gt;5</formula>
    </cfRule>
  </conditionalFormatting>
  <conditionalFormatting sqref="B34:C34">
    <cfRule type="expression" dxfId="762" priority="25">
      <formula>WEEKDAY($A34,2)&gt;5</formula>
    </cfRule>
  </conditionalFormatting>
  <conditionalFormatting sqref="B34:C34">
    <cfRule type="expression" dxfId="761" priority="24">
      <formula>$M34="frei"</formula>
    </cfRule>
  </conditionalFormatting>
  <conditionalFormatting sqref="C34">
    <cfRule type="expression" dxfId="760" priority="23">
      <formula>WEEKDAY($A34,2)&gt;5</formula>
    </cfRule>
  </conditionalFormatting>
  <conditionalFormatting sqref="C34">
    <cfRule type="expression" dxfId="759" priority="22">
      <formula>$M34="frei"</formula>
    </cfRule>
  </conditionalFormatting>
  <conditionalFormatting sqref="B32:C32">
    <cfRule type="expression" dxfId="758" priority="21">
      <formula>WEEKDAY($A32,2)&gt;5</formula>
    </cfRule>
  </conditionalFormatting>
  <conditionalFormatting sqref="B32:C32">
    <cfRule type="expression" dxfId="757" priority="20">
      <formula>WEEKDAY($A32,2)&gt;5</formula>
    </cfRule>
  </conditionalFormatting>
  <conditionalFormatting sqref="B32:C32">
    <cfRule type="expression" dxfId="756" priority="19">
      <formula>WEEKDAY($A32,2)&gt;5</formula>
    </cfRule>
  </conditionalFormatting>
  <conditionalFormatting sqref="C33">
    <cfRule type="expression" dxfId="755" priority="18">
      <formula>WEEKDAY($A33,2)&gt;5</formula>
    </cfRule>
  </conditionalFormatting>
  <conditionalFormatting sqref="C32">
    <cfRule type="expression" dxfId="754" priority="17">
      <formula>WEEKDAY($A32,2)&gt;5</formula>
    </cfRule>
  </conditionalFormatting>
  <conditionalFormatting sqref="C32">
    <cfRule type="expression" dxfId="753" priority="16">
      <formula>WEEKDAY($A32,2)&gt;5</formula>
    </cfRule>
  </conditionalFormatting>
  <conditionalFormatting sqref="C32">
    <cfRule type="expression" dxfId="752" priority="15">
      <formula>WEEKDAY($A32,2)&gt;5</formula>
    </cfRule>
  </conditionalFormatting>
  <conditionalFormatting sqref="C32">
    <cfRule type="expression" dxfId="751" priority="14">
      <formula>WEEKDAY($A32,2)&gt;5</formula>
    </cfRule>
  </conditionalFormatting>
  <conditionalFormatting sqref="B34:C34">
    <cfRule type="expression" dxfId="750" priority="13">
      <formula>WEEKDAY($A34,2)&gt;5</formula>
    </cfRule>
  </conditionalFormatting>
  <conditionalFormatting sqref="C34">
    <cfRule type="expression" dxfId="749" priority="12">
      <formula>WEEKDAY($A34,2)&gt;5</formula>
    </cfRule>
  </conditionalFormatting>
  <conditionalFormatting sqref="C34">
    <cfRule type="expression" dxfId="748" priority="11">
      <formula>WEEKDAY($A34,2)&gt;5</formula>
    </cfRule>
  </conditionalFormatting>
  <conditionalFormatting sqref="C32">
    <cfRule type="expression" dxfId="747" priority="9">
      <formula>WEEKDAY($A32,2)&gt;5</formula>
    </cfRule>
  </conditionalFormatting>
  <conditionalFormatting sqref="C32:C34">
    <cfRule type="expression" dxfId="746" priority="10">
      <formula>WEEKDAY($A32,2)&gt;5</formula>
    </cfRule>
  </conditionalFormatting>
  <conditionalFormatting sqref="C33:C34">
    <cfRule type="expression" dxfId="745" priority="8">
      <formula>WEEKDAY($A33,2)&gt;5</formula>
    </cfRule>
  </conditionalFormatting>
  <conditionalFormatting sqref="C33:C34">
    <cfRule type="expression" dxfId="744" priority="7">
      <formula>WEEKDAY($A33,2)&gt;5</formula>
    </cfRule>
  </conditionalFormatting>
  <conditionalFormatting sqref="C33:C34">
    <cfRule type="expression" dxfId="743" priority="6">
      <formula>WEEKDAY($A33,2)&gt;5</formula>
    </cfRule>
  </conditionalFormatting>
  <conditionalFormatting sqref="C33:C34">
    <cfRule type="expression" dxfId="742" priority="5">
      <formula>WEEKDAY($A33,2)&gt;5</formula>
    </cfRule>
  </conditionalFormatting>
  <conditionalFormatting sqref="C33:C34">
    <cfRule type="expression" dxfId="741" priority="4">
      <formula>WEEKDAY($A33,2)&gt;5</formula>
    </cfRule>
  </conditionalFormatting>
  <conditionalFormatting sqref="B33:B34">
    <cfRule type="expression" dxfId="740" priority="3">
      <formula>WEEKDAY($A33,2)&gt;5</formula>
    </cfRule>
  </conditionalFormatting>
  <conditionalFormatting sqref="B33:B34">
    <cfRule type="expression" dxfId="739" priority="2">
      <formula>WEEKDAY($A33,2)&gt;5</formula>
    </cfRule>
  </conditionalFormatting>
  <conditionalFormatting sqref="C34">
    <cfRule type="expression" dxfId="738" priority="1">
      <formula>WEEKDAY($A34,2)&gt;5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scale="97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21" zoomScaleNormal="100" workbookViewId="0">
      <selection activeCell="K24" sqref="K24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4257812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5.140625" style="78" customWidth="1"/>
    <col min="15" max="15" width="9.42578125" style="78" customWidth="1"/>
    <col min="16" max="16" width="10.7109375" style="78" bestFit="1" customWidth="1"/>
    <col min="17" max="17" width="9.28515625" style="78" bestFit="1" customWidth="1"/>
    <col min="18" max="18" width="9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363"/>
      <c r="D2" s="364"/>
      <c r="E2" s="362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45323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4">
        <f>Jän!L7</f>
        <v>25</v>
      </c>
      <c r="O4" s="24"/>
      <c r="P4" s="24"/>
      <c r="Q4" s="24"/>
      <c r="R4" s="24"/>
      <c r="S4" s="24"/>
      <c r="T4" s="24"/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21</v>
      </c>
      <c r="E5" s="74">
        <f>Start!B29</f>
        <v>0.33333333333333331</v>
      </c>
      <c r="F5" s="74">
        <f ca="1">+D5*E5</f>
        <v>7</v>
      </c>
      <c r="G5" s="74">
        <f>+L6*E5</f>
        <v>0</v>
      </c>
      <c r="H5" s="74">
        <f>SUM(J10:J40)</f>
        <v>0</v>
      </c>
      <c r="I5" s="74">
        <f ca="1">+F5-G5-H5</f>
        <v>7</v>
      </c>
      <c r="J5" s="191"/>
      <c r="K5" s="192" t="s">
        <v>19</v>
      </c>
      <c r="L5" s="92">
        <f ca="1">IF(MONTH(L2)=MONTH(A10),L3,0)</f>
        <v>0</v>
      </c>
      <c r="N5" s="84"/>
      <c r="O5" s="24"/>
      <c r="P5" s="24"/>
      <c r="Q5" s="24"/>
      <c r="R5" s="24"/>
      <c r="S5" s="24"/>
      <c r="T5" s="24"/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2">
        <f>COUNTIF(K10:K40,"Urlaub*")</f>
        <v>0</v>
      </c>
      <c r="N6" s="84"/>
      <c r="O6" s="24"/>
      <c r="P6" s="24"/>
      <c r="Q6" s="33"/>
      <c r="R6" s="24"/>
      <c r="S6" s="33"/>
      <c r="T6" s="24"/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N7" s="84"/>
      <c r="O7" s="80" t="s">
        <v>105</v>
      </c>
      <c r="T7" s="24"/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84"/>
      <c r="N8" s="84"/>
      <c r="O8" s="79" t="s">
        <v>101</v>
      </c>
      <c r="P8" s="78" t="s">
        <v>102</v>
      </c>
      <c r="Q8" s="79" t="s">
        <v>103</v>
      </c>
      <c r="R8" s="78" t="s">
        <v>104</v>
      </c>
      <c r="T8" s="24"/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84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  <c r="T9" s="24"/>
    </row>
    <row r="10" spans="1:21" ht="13.5" thickTop="1" x14ac:dyDescent="0.2">
      <c r="A10" s="96">
        <f ca="1">VALUE("1"&amp;REPLACE(CELL("Dateiname",A1),1,FIND("]",CELL("Dateiname",A1)),)&amp;YEAR(Jän!A10))</f>
        <v>45323</v>
      </c>
      <c r="B10" s="75"/>
      <c r="C10" s="72"/>
      <c r="D10" s="72"/>
      <c r="E10" s="72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95" t="str">
        <f t="shared" ref="L10:L40" ca="1" si="1">IF(TEXT(A10,"TTT")="So",SUM(I4:I10),"")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Do</v>
      </c>
      <c r="O10" s="82">
        <f t="shared" ref="O10:O37" si="2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37" ca="1" si="3">O10-P10</f>
        <v>0</v>
      </c>
      <c r="R10" s="68" t="str">
        <f ca="1">IF(Q10&lt;&gt;0,S9+Q10,"")</f>
        <v/>
      </c>
      <c r="S10" s="87">
        <f t="shared" ref="S10:S37" ca="1" si="4">S9+Q10</f>
        <v>0</v>
      </c>
      <c r="T10" s="24"/>
    </row>
    <row r="11" spans="1:21" x14ac:dyDescent="0.2">
      <c r="A11" s="96">
        <f ca="1">IF(A10="","",IF(MONTH(A10+1)=MONTH($A$10),A10+1,""))</f>
        <v>45324</v>
      </c>
      <c r="B11" s="75"/>
      <c r="C11" s="72"/>
      <c r="D11" s="72"/>
      <c r="E11" s="72"/>
      <c r="F11" s="75"/>
      <c r="G11" s="75"/>
      <c r="H11" s="72"/>
      <c r="I11" s="71">
        <f t="shared" si="0"/>
        <v>0</v>
      </c>
      <c r="J11" s="72"/>
      <c r="K11" s="77"/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Fr</v>
      </c>
      <c r="N11" s="147"/>
      <c r="O11" s="82">
        <f t="shared" si="2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37" ca="1" si="5">IF(Q11&lt;&gt;0,S10+Q11,"")</f>
        <v/>
      </c>
      <c r="S11" s="87">
        <f t="shared" ca="1" si="4"/>
        <v>0</v>
      </c>
      <c r="T11" s="24"/>
    </row>
    <row r="12" spans="1:21" x14ac:dyDescent="0.2">
      <c r="A12" s="96">
        <f t="shared" ref="A12:A40" ca="1" si="6">IF(A11="","",IF(MONTH(A11+1)=MONTH($A$10),A11+1,""))</f>
        <v>45325</v>
      </c>
      <c r="B12" s="75"/>
      <c r="C12" s="72"/>
      <c r="D12" s="72"/>
      <c r="E12" s="72"/>
      <c r="F12" s="75"/>
      <c r="G12" s="75"/>
      <c r="H12" s="72"/>
      <c r="I12" s="71">
        <f t="shared" si="0"/>
        <v>0</v>
      </c>
      <c r="J12" s="72"/>
      <c r="K12" s="77"/>
      <c r="L12" s="95" t="str">
        <f t="shared" ca="1" si="1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frei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  <c r="T12" s="24"/>
    </row>
    <row r="13" spans="1:21" x14ac:dyDescent="0.2">
      <c r="A13" s="96">
        <f t="shared" ca="1" si="6"/>
        <v>45326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19"/>
      <c r="L13" s="95">
        <f t="shared" ca="1" si="1"/>
        <v>0</v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frei</v>
      </c>
      <c r="N13" s="147"/>
      <c r="O13" s="82">
        <f t="shared" si="2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  <c r="T13" s="24"/>
    </row>
    <row r="14" spans="1:21" x14ac:dyDescent="0.2">
      <c r="A14" s="96">
        <f t="shared" ca="1" si="6"/>
        <v>45327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Mo</v>
      </c>
      <c r="N14" s="147"/>
      <c r="O14" s="82">
        <f t="shared" si="2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  <c r="T14" s="24"/>
    </row>
    <row r="15" spans="1:21" x14ac:dyDescent="0.2">
      <c r="A15" s="96">
        <f t="shared" ca="1" si="6"/>
        <v>45328</v>
      </c>
      <c r="B15" s="75"/>
      <c r="C15" s="72"/>
      <c r="D15" s="72"/>
      <c r="E15" s="72"/>
      <c r="F15" s="75"/>
      <c r="G15" s="75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Di</v>
      </c>
      <c r="N15" s="147"/>
      <c r="O15" s="82">
        <f t="shared" si="2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  <c r="T15" s="24"/>
    </row>
    <row r="16" spans="1:21" x14ac:dyDescent="0.2">
      <c r="A16" s="96">
        <f t="shared" ca="1" si="6"/>
        <v>45329</v>
      </c>
      <c r="B16" s="75"/>
      <c r="C16" s="72"/>
      <c r="D16" s="72"/>
      <c r="E16" s="72"/>
      <c r="F16" s="75"/>
      <c r="G16" s="75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Mi</v>
      </c>
      <c r="N16" s="147"/>
      <c r="O16" s="82">
        <f t="shared" si="2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  <c r="T16" s="24"/>
    </row>
    <row r="17" spans="1:20" x14ac:dyDescent="0.2">
      <c r="A17" s="96">
        <f t="shared" ca="1" si="6"/>
        <v>45330</v>
      </c>
      <c r="B17" s="75"/>
      <c r="C17" s="72"/>
      <c r="D17" s="72"/>
      <c r="E17" s="72"/>
      <c r="F17" s="75"/>
      <c r="G17" s="75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Do</v>
      </c>
      <c r="N17" s="147"/>
      <c r="O17" s="82">
        <f t="shared" si="2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  <c r="T17" s="24"/>
    </row>
    <row r="18" spans="1:20" x14ac:dyDescent="0.2">
      <c r="A18" s="96">
        <f t="shared" ca="1" si="6"/>
        <v>45331</v>
      </c>
      <c r="B18" s="75"/>
      <c r="C18" s="72"/>
      <c r="D18" s="72"/>
      <c r="E18" s="72"/>
      <c r="F18" s="75"/>
      <c r="G18" s="75"/>
      <c r="H18" s="72"/>
      <c r="I18" s="71">
        <f t="shared" si="0"/>
        <v>0</v>
      </c>
      <c r="J18" s="72"/>
      <c r="K18" s="239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Fr</v>
      </c>
      <c r="N18" s="147"/>
      <c r="O18" s="82">
        <f t="shared" si="2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4"/>
        <v>0</v>
      </c>
      <c r="T18" s="24"/>
    </row>
    <row r="19" spans="1:20" x14ac:dyDescent="0.2">
      <c r="A19" s="96">
        <f t="shared" ca="1" si="6"/>
        <v>45332</v>
      </c>
      <c r="B19" s="75"/>
      <c r="C19" s="75"/>
      <c r="D19" s="75"/>
      <c r="E19" s="75"/>
      <c r="F19" s="75"/>
      <c r="G19" s="75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frei</v>
      </c>
      <c r="N19" s="147"/>
      <c r="O19" s="82">
        <f t="shared" si="2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  <c r="T19" s="24"/>
    </row>
    <row r="20" spans="1:20" x14ac:dyDescent="0.2">
      <c r="A20" s="96">
        <f t="shared" ca="1" si="6"/>
        <v>45333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>
        <f t="shared" ca="1" si="1"/>
        <v>0</v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frei</v>
      </c>
      <c r="N20" s="147"/>
      <c r="O20" s="82">
        <f t="shared" si="2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  <c r="T20" s="24"/>
    </row>
    <row r="21" spans="1:20" x14ac:dyDescent="0.2">
      <c r="A21" s="96">
        <f t="shared" ca="1" si="6"/>
        <v>45334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Mo</v>
      </c>
      <c r="N21" s="147"/>
      <c r="O21" s="82">
        <f t="shared" si="2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  <c r="T21" s="24"/>
    </row>
    <row r="22" spans="1:20" x14ac:dyDescent="0.2">
      <c r="A22" s="96">
        <f t="shared" ca="1" si="6"/>
        <v>45335</v>
      </c>
      <c r="B22" s="75"/>
      <c r="C22" s="72"/>
      <c r="D22" s="72"/>
      <c r="E22" s="72"/>
      <c r="F22" s="75"/>
      <c r="G22" s="75"/>
      <c r="H22" s="72"/>
      <c r="I22" s="71">
        <f t="shared" si="0"/>
        <v>0</v>
      </c>
      <c r="J22" s="72"/>
      <c r="K22" s="77" t="s">
        <v>214</v>
      </c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Di</v>
      </c>
      <c r="N22" s="147"/>
      <c r="O22" s="82">
        <f t="shared" si="2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  <c r="T22" s="24"/>
    </row>
    <row r="23" spans="1:20" x14ac:dyDescent="0.2">
      <c r="A23" s="96">
        <f t="shared" ca="1" si="6"/>
        <v>45336</v>
      </c>
      <c r="B23" s="75"/>
      <c r="C23" s="72"/>
      <c r="D23" s="72"/>
      <c r="E23" s="72"/>
      <c r="F23" s="75"/>
      <c r="G23" s="75"/>
      <c r="H23" s="72"/>
      <c r="I23" s="71">
        <f t="shared" si="0"/>
        <v>0</v>
      </c>
      <c r="J23" s="72"/>
      <c r="K23" s="77" t="s">
        <v>215</v>
      </c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Mi</v>
      </c>
      <c r="N23" s="147"/>
      <c r="O23" s="82">
        <f t="shared" si="2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  <c r="T23" s="24"/>
    </row>
    <row r="24" spans="1:20" x14ac:dyDescent="0.2">
      <c r="A24" s="96">
        <f t="shared" ca="1" si="6"/>
        <v>45337</v>
      </c>
      <c r="B24" s="75"/>
      <c r="C24" s="72"/>
      <c r="D24" s="72"/>
      <c r="E24" s="72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Do</v>
      </c>
      <c r="N24" s="147"/>
      <c r="O24" s="82">
        <f t="shared" si="2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  <c r="T24" s="24"/>
    </row>
    <row r="25" spans="1:20" x14ac:dyDescent="0.2">
      <c r="A25" s="96">
        <f t="shared" ca="1" si="6"/>
        <v>45338</v>
      </c>
      <c r="B25" s="75"/>
      <c r="C25" s="72"/>
      <c r="D25" s="72"/>
      <c r="E25" s="72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Fr</v>
      </c>
      <c r="N25" s="147"/>
      <c r="O25" s="82">
        <f t="shared" si="2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  <c r="T25" s="24"/>
    </row>
    <row r="26" spans="1:20" x14ac:dyDescent="0.2">
      <c r="A26" s="96">
        <f t="shared" ca="1" si="6"/>
        <v>45339</v>
      </c>
      <c r="B26" s="75"/>
      <c r="C26" s="72"/>
      <c r="D26" s="72"/>
      <c r="E26" s="72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frei</v>
      </c>
      <c r="N26" s="147"/>
      <c r="O26" s="82">
        <f t="shared" si="2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  <c r="T26" s="24"/>
    </row>
    <row r="27" spans="1:20" x14ac:dyDescent="0.2">
      <c r="A27" s="96">
        <f t="shared" ca="1" si="6"/>
        <v>45340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>
        <f t="shared" ca="1" si="1"/>
        <v>0</v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frei</v>
      </c>
      <c r="N27" s="147"/>
      <c r="O27" s="82">
        <f t="shared" si="2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  <c r="T27" s="24"/>
    </row>
    <row r="28" spans="1:20" x14ac:dyDescent="0.2">
      <c r="A28" s="96">
        <f t="shared" ca="1" si="6"/>
        <v>45341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Mo</v>
      </c>
      <c r="N28" s="147"/>
      <c r="O28" s="82">
        <f t="shared" si="2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  <c r="T28" s="24"/>
    </row>
    <row r="29" spans="1:20" x14ac:dyDescent="0.2">
      <c r="A29" s="96">
        <f t="shared" ca="1" si="6"/>
        <v>45342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Di</v>
      </c>
      <c r="N29" s="147"/>
      <c r="O29" s="82">
        <f t="shared" si="2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3"/>
        <v>0</v>
      </c>
      <c r="R29" s="68" t="str">
        <f t="shared" ca="1" si="5"/>
        <v/>
      </c>
      <c r="S29" s="87">
        <f t="shared" ca="1" si="4"/>
        <v>0</v>
      </c>
      <c r="T29" s="24"/>
    </row>
    <row r="30" spans="1:20" x14ac:dyDescent="0.2">
      <c r="A30" s="96">
        <f t="shared" ca="1" si="6"/>
        <v>45343</v>
      </c>
      <c r="B30" s="75"/>
      <c r="C30" s="72"/>
      <c r="D30" s="72"/>
      <c r="E30" s="75"/>
      <c r="F30" s="72"/>
      <c r="G30" s="75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Mi</v>
      </c>
      <c r="N30" s="147"/>
      <c r="O30" s="82">
        <f t="shared" si="2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  <c r="T30" s="24"/>
    </row>
    <row r="31" spans="1:20" x14ac:dyDescent="0.2">
      <c r="A31" s="96">
        <f t="shared" ca="1" si="6"/>
        <v>45344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Do</v>
      </c>
      <c r="N31" s="147"/>
      <c r="O31" s="82">
        <f t="shared" si="2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  <c r="T31" s="24"/>
    </row>
    <row r="32" spans="1:20" x14ac:dyDescent="0.2">
      <c r="A32" s="96">
        <f t="shared" ca="1" si="6"/>
        <v>45345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Fr</v>
      </c>
      <c r="N32" s="147"/>
      <c r="O32" s="82">
        <f t="shared" si="2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  <c r="T32" s="24"/>
    </row>
    <row r="33" spans="1:20" x14ac:dyDescent="0.2">
      <c r="A33" s="96">
        <f t="shared" ca="1" si="6"/>
        <v>45346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frei</v>
      </c>
      <c r="N33" s="147"/>
      <c r="O33" s="82">
        <f t="shared" si="2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  <c r="T33" s="24"/>
    </row>
    <row r="34" spans="1:20" x14ac:dyDescent="0.2">
      <c r="A34" s="96">
        <f t="shared" ca="1" si="6"/>
        <v>45347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>
        <f t="shared" ca="1" si="1"/>
        <v>0</v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frei</v>
      </c>
      <c r="N34" s="147"/>
      <c r="O34" s="82">
        <f t="shared" si="2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  <c r="T34" s="24"/>
    </row>
    <row r="35" spans="1:20" x14ac:dyDescent="0.2">
      <c r="A35" s="96">
        <f t="shared" ca="1" si="6"/>
        <v>45348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Mo</v>
      </c>
      <c r="N35" s="147"/>
      <c r="O35" s="82">
        <f t="shared" si="2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  <c r="T35" s="24"/>
    </row>
    <row r="36" spans="1:20" x14ac:dyDescent="0.2">
      <c r="A36" s="96">
        <f t="shared" ca="1" si="6"/>
        <v>45349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Di</v>
      </c>
      <c r="N36" s="147"/>
      <c r="O36" s="82">
        <f t="shared" si="2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  <c r="T36" s="24"/>
    </row>
    <row r="37" spans="1:20" x14ac:dyDescent="0.2">
      <c r="A37" s="96">
        <f t="shared" ca="1" si="6"/>
        <v>45350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239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Mi</v>
      </c>
      <c r="N37" s="147"/>
      <c r="O37" s="82">
        <f t="shared" si="2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  <c r="T37" s="24"/>
    </row>
    <row r="38" spans="1:20" x14ac:dyDescent="0.2">
      <c r="A38" s="96">
        <f t="shared" ca="1" si="6"/>
        <v>45351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Do</v>
      </c>
      <c r="N38" s="147"/>
      <c r="O38" s="82"/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/>
      <c r="R38" s="68"/>
      <c r="S38" s="87"/>
      <c r="T38" s="24"/>
    </row>
    <row r="39" spans="1:20" x14ac:dyDescent="0.2">
      <c r="A39" s="96" t="str">
        <f t="shared" ca="1" si="6"/>
        <v/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1"/>
        <v/>
      </c>
      <c r="M39" s="159"/>
      <c r="N39" s="147"/>
      <c r="O39" s="82"/>
      <c r="P39" s="82">
        <f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/>
      <c r="R39" s="68"/>
      <c r="S39" s="87"/>
      <c r="T39" s="24"/>
    </row>
    <row r="40" spans="1:20" x14ac:dyDescent="0.2">
      <c r="A40" s="96" t="str">
        <f t="shared" ca="1" si="6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/>
      <c r="P40" s="82">
        <f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/>
      <c r="R40" s="68"/>
      <c r="S40" s="87"/>
      <c r="T40" s="24"/>
    </row>
    <row r="41" spans="1:20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  <c r="T41" s="24"/>
    </row>
    <row r="42" spans="1:20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IF(OR(I43&gt;0,G5&gt;0,H5&gt;0),IF(AND(Jän!I43=0,Jän!G5=0,Jän!H5=0),Start!B40,Jän!L47),0)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  <c r="T42" s="24"/>
    </row>
    <row r="43" spans="1:20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  <c r="T43" s="24"/>
    </row>
    <row r="44" spans="1:20" ht="21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  <c r="T44" s="24"/>
    </row>
    <row r="45" spans="1:20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  <c r="T45" s="24"/>
    </row>
    <row r="46" spans="1:20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  <c r="T46" s="24"/>
    </row>
    <row r="47" spans="1:20" ht="27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  <c r="O47" s="33"/>
      <c r="P47" s="33"/>
      <c r="Q47" s="65"/>
      <c r="R47" s="33"/>
      <c r="S47" s="24"/>
      <c r="T47" s="24"/>
    </row>
    <row r="48" spans="1:20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  <c r="O48" s="33"/>
      <c r="P48" s="33"/>
      <c r="Q48" s="65"/>
      <c r="R48" s="33"/>
      <c r="S48" s="24"/>
      <c r="T48" s="24"/>
    </row>
    <row r="49" spans="1:20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  <c r="O49" s="33"/>
      <c r="P49" s="33"/>
      <c r="Q49" s="33"/>
      <c r="R49" s="33"/>
      <c r="S49" s="33"/>
      <c r="T49" s="24"/>
    </row>
    <row r="50" spans="1:20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20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2" spans="1:20" hidden="1" x14ac:dyDescent="0.2">
      <c r="C52" s="208"/>
      <c r="D52" s="208"/>
      <c r="E52" s="208"/>
      <c r="F52" s="208"/>
      <c r="G52" s="208"/>
      <c r="H52" s="208"/>
      <c r="I52" s="208"/>
    </row>
    <row r="54" spans="1:20" x14ac:dyDescent="0.2"/>
  </sheetData>
  <sheetProtection password="DB57" sheet="1" objects="1" scenarios="1"/>
  <protectedRanges>
    <protectedRange sqref="I46 L43" name="Bereich1"/>
  </protectedRanges>
  <mergeCells count="15">
    <mergeCell ref="O43:S45"/>
    <mergeCell ref="A8:K8"/>
    <mergeCell ref="A42:H42"/>
    <mergeCell ref="A45:H45"/>
    <mergeCell ref="A43:H43"/>
    <mergeCell ref="F2:G2"/>
    <mergeCell ref="H2:J2"/>
    <mergeCell ref="F1:L1"/>
    <mergeCell ref="A1:E1"/>
    <mergeCell ref="A47:H47"/>
    <mergeCell ref="A44:H44"/>
    <mergeCell ref="A46:H46"/>
    <mergeCell ref="F3:G3"/>
    <mergeCell ref="H3:J3"/>
    <mergeCell ref="B3:E3"/>
  </mergeCells>
  <conditionalFormatting sqref="A10:A41">
    <cfRule type="expression" dxfId="737" priority="280">
      <formula>WEEKDAY($A10,2)&gt;5</formula>
    </cfRule>
  </conditionalFormatting>
  <conditionalFormatting sqref="L47">
    <cfRule type="cellIs" dxfId="736" priority="230" operator="greaterThan">
      <formula>80</formula>
    </cfRule>
  </conditionalFormatting>
  <conditionalFormatting sqref="L10:L41">
    <cfRule type="expression" dxfId="735" priority="102">
      <formula>WEEKDAY($A10,2)&gt;5</formula>
    </cfRule>
  </conditionalFormatting>
  <conditionalFormatting sqref="L10:L41">
    <cfRule type="cellIs" dxfId="734" priority="101" operator="greaterThan">
      <formula>2.08333333333333</formula>
    </cfRule>
  </conditionalFormatting>
  <conditionalFormatting sqref="L10:L41">
    <cfRule type="expression" dxfId="733" priority="100">
      <formula>L10=""</formula>
    </cfRule>
  </conditionalFormatting>
  <conditionalFormatting sqref="I10:I39 I41">
    <cfRule type="expression" dxfId="732" priority="95">
      <formula>(G10-F10)&gt;6/24</formula>
    </cfRule>
    <cfRule type="expression" dxfId="731" priority="96">
      <formula>(E10-D10)&gt;6/24</formula>
    </cfRule>
    <cfRule type="expression" dxfId="730" priority="97">
      <formula>(C10-B10)&gt;6/24</formula>
    </cfRule>
    <cfRule type="expression" dxfId="729" priority="99">
      <formula>WEEKDAY($A10,2)&gt;5</formula>
    </cfRule>
  </conditionalFormatting>
  <conditionalFormatting sqref="I10:I39 I41">
    <cfRule type="cellIs" dxfId="728" priority="98" operator="greaterThan">
      <formula>0.416666666666667</formula>
    </cfRule>
  </conditionalFormatting>
  <conditionalFormatting sqref="J27:K36 J26 J38:K39 J37 J22:K25 J41:K41">
    <cfRule type="expression" dxfId="727" priority="94">
      <formula>WEEKDAY($A22,2)&gt;5</formula>
    </cfRule>
  </conditionalFormatting>
  <conditionalFormatting sqref="K26">
    <cfRule type="expression" dxfId="726" priority="93">
      <formula>WEEKDAY($A26,2)&gt;5</formula>
    </cfRule>
  </conditionalFormatting>
  <conditionalFormatting sqref="J10:K17 J19:K21 J18">
    <cfRule type="expression" dxfId="725" priority="92">
      <formula>WEEKDAY($A10,2)&gt;5</formula>
    </cfRule>
  </conditionalFormatting>
  <conditionalFormatting sqref="B39:H39 F22:H38 B41:H41">
    <cfRule type="expression" dxfId="724" priority="90">
      <formula>WEEKDAY($A22,2)&gt;5</formula>
    </cfRule>
  </conditionalFormatting>
  <conditionalFormatting sqref="D23:E23">
    <cfRule type="expression" dxfId="723" priority="89">
      <formula>WEEKDAY($A23,2)&gt;5</formula>
    </cfRule>
  </conditionalFormatting>
  <conditionalFormatting sqref="B22:E22">
    <cfRule type="expression" dxfId="722" priority="88">
      <formula>WEEKDAY($A22,2)&gt;5</formula>
    </cfRule>
  </conditionalFormatting>
  <conditionalFormatting sqref="B23:C23">
    <cfRule type="expression" dxfId="721" priority="87">
      <formula>WEEKDAY($A23,2)&gt;5</formula>
    </cfRule>
  </conditionalFormatting>
  <conditionalFormatting sqref="D30:E30">
    <cfRule type="expression" dxfId="720" priority="86">
      <formula>WEEKDAY($A30,2)&gt;5</formula>
    </cfRule>
  </conditionalFormatting>
  <conditionalFormatting sqref="D28:E28">
    <cfRule type="expression" dxfId="719" priority="85">
      <formula>WEEKDAY($A28,2)&gt;5</formula>
    </cfRule>
  </conditionalFormatting>
  <conditionalFormatting sqref="B29:E29">
    <cfRule type="expression" dxfId="718" priority="84">
      <formula>WEEKDAY($A29,2)&gt;5</formula>
    </cfRule>
  </conditionalFormatting>
  <conditionalFormatting sqref="B30:C30">
    <cfRule type="expression" dxfId="717" priority="83">
      <formula>WEEKDAY($A30,2)&gt;5</formula>
    </cfRule>
  </conditionalFormatting>
  <conditionalFormatting sqref="D37:E37">
    <cfRule type="expression" dxfId="716" priority="82">
      <formula>WEEKDAY($A37,2)&gt;5</formula>
    </cfRule>
  </conditionalFormatting>
  <conditionalFormatting sqref="D35:E35">
    <cfRule type="expression" dxfId="715" priority="81">
      <formula>WEEKDAY($A35,2)&gt;5</formula>
    </cfRule>
  </conditionalFormatting>
  <conditionalFormatting sqref="B36:E36">
    <cfRule type="expression" dxfId="714" priority="80">
      <formula>WEEKDAY($A36,2)&gt;5</formula>
    </cfRule>
  </conditionalFormatting>
  <conditionalFormatting sqref="B37:C37">
    <cfRule type="expression" dxfId="713" priority="79">
      <formula>WEEKDAY($A37,2)&gt;5</formula>
    </cfRule>
  </conditionalFormatting>
  <conditionalFormatting sqref="B18:H18 F10:H21">
    <cfRule type="expression" dxfId="712" priority="78">
      <formula>WEEKDAY($A10,2)&gt;5</formula>
    </cfRule>
  </conditionalFormatting>
  <conditionalFormatting sqref="D16:E16">
    <cfRule type="expression" dxfId="711" priority="77">
      <formula>WEEKDAY($A16,2)&gt;5</formula>
    </cfRule>
  </conditionalFormatting>
  <conditionalFormatting sqref="B14:E14">
    <cfRule type="expression" dxfId="710" priority="76">
      <formula>WEEKDAY($A14,2)&gt;5</formula>
    </cfRule>
  </conditionalFormatting>
  <conditionalFormatting sqref="D15:E15">
    <cfRule type="expression" dxfId="709" priority="75">
      <formula>WEEKDAY($A15,2)&gt;5</formula>
    </cfRule>
  </conditionalFormatting>
  <conditionalFormatting sqref="B16:C16">
    <cfRule type="expression" dxfId="708" priority="74">
      <formula>WEEKDAY($A16,2)&gt;5</formula>
    </cfRule>
  </conditionalFormatting>
  <conditionalFormatting sqref="D21:E21">
    <cfRule type="expression" dxfId="707" priority="73">
      <formula>WEEKDAY($A21,2)&gt;5</formula>
    </cfRule>
  </conditionalFormatting>
  <conditionalFormatting sqref="B10:E37">
    <cfRule type="expression" dxfId="706" priority="72">
      <formula>WEEKDAY($A10,2)&gt;5</formula>
    </cfRule>
  </conditionalFormatting>
  <conditionalFormatting sqref="B11:E11 B14:E14 B17:E17 B20:E20 B23:E23 B26:E26 B29:E29 B32:E32 B35:E35">
    <cfRule type="expression" dxfId="705" priority="71">
      <formula>WEEKDAY($A11,2)&gt;5</formula>
    </cfRule>
  </conditionalFormatting>
  <conditionalFormatting sqref="B12:E12 B15:E15 B18:E18 B21:E21 B24:E24 B27:E27 B30:E30 B33:E33 B36:E36">
    <cfRule type="expression" dxfId="704" priority="70">
      <formula>WEEKDAY($A12,2)&gt;5</formula>
    </cfRule>
  </conditionalFormatting>
  <conditionalFormatting sqref="B13:E13">
    <cfRule type="expression" dxfId="703" priority="69">
      <formula>WEEKDAY($A13,2)&gt;5</formula>
    </cfRule>
  </conditionalFormatting>
  <conditionalFormatting sqref="B17:C17">
    <cfRule type="expression" dxfId="702" priority="68">
      <formula>WEEKDAY($A17,2)&gt;5</formula>
    </cfRule>
  </conditionalFormatting>
  <conditionalFormatting sqref="D17:E17">
    <cfRule type="expression" dxfId="701" priority="67">
      <formula>WEEKDAY($A17,2)&gt;5</formula>
    </cfRule>
  </conditionalFormatting>
  <conditionalFormatting sqref="B19:E19">
    <cfRule type="expression" dxfId="700" priority="66">
      <formula>WEEKDAY($A19,2)&gt;5</formula>
    </cfRule>
  </conditionalFormatting>
  <conditionalFormatting sqref="B20:E20">
    <cfRule type="expression" dxfId="699" priority="65">
      <formula>WEEKDAY($A20,2)&gt;5</formula>
    </cfRule>
  </conditionalFormatting>
  <conditionalFormatting sqref="B21:C21">
    <cfRule type="expression" dxfId="698" priority="64">
      <formula>WEEKDAY($A21,2)&gt;5</formula>
    </cfRule>
  </conditionalFormatting>
  <conditionalFormatting sqref="B24:E24">
    <cfRule type="expression" dxfId="697" priority="63">
      <formula>WEEKDAY($A24,2)&gt;5</formula>
    </cfRule>
  </conditionalFormatting>
  <conditionalFormatting sqref="B25:E25">
    <cfRule type="expression" dxfId="696" priority="62">
      <formula>WEEKDAY($A25,2)&gt;5</formula>
    </cfRule>
  </conditionalFormatting>
  <conditionalFormatting sqref="B26:E26">
    <cfRule type="expression" dxfId="695" priority="61">
      <formula>WEEKDAY($A26,2)&gt;5</formula>
    </cfRule>
  </conditionalFormatting>
  <conditionalFormatting sqref="B27:E27">
    <cfRule type="expression" dxfId="694" priority="60">
      <formula>WEEKDAY($A27,2)&gt;5</formula>
    </cfRule>
  </conditionalFormatting>
  <conditionalFormatting sqref="B28:C28">
    <cfRule type="expression" dxfId="693" priority="59">
      <formula>WEEKDAY($A28,2)&gt;5</formula>
    </cfRule>
  </conditionalFormatting>
  <conditionalFormatting sqref="B31:E31">
    <cfRule type="expression" dxfId="692" priority="58">
      <formula>WEEKDAY($A31,2)&gt;5</formula>
    </cfRule>
  </conditionalFormatting>
  <conditionalFormatting sqref="B32:E32">
    <cfRule type="expression" dxfId="691" priority="57">
      <formula>WEEKDAY($A32,2)&gt;5</formula>
    </cfRule>
  </conditionalFormatting>
  <conditionalFormatting sqref="B33:E33">
    <cfRule type="expression" dxfId="690" priority="56">
      <formula>WEEKDAY($A33,2)&gt;5</formula>
    </cfRule>
  </conditionalFormatting>
  <conditionalFormatting sqref="B34:E34">
    <cfRule type="expression" dxfId="689" priority="55">
      <formula>WEEKDAY($A34,2)&gt;5</formula>
    </cfRule>
  </conditionalFormatting>
  <conditionalFormatting sqref="B35:C35">
    <cfRule type="expression" dxfId="688" priority="54">
      <formula>WEEKDAY($A35,2)&gt;5</formula>
    </cfRule>
  </conditionalFormatting>
  <conditionalFormatting sqref="B38:E38">
    <cfRule type="expression" dxfId="687" priority="53">
      <formula>WEEKDAY($A38,2)&gt;5</formula>
    </cfRule>
  </conditionalFormatting>
  <conditionalFormatting sqref="B15:C15">
    <cfRule type="expression" dxfId="686" priority="52">
      <formula>WEEKDAY($A15,2)&gt;5</formula>
    </cfRule>
  </conditionalFormatting>
  <conditionalFormatting sqref="K37">
    <cfRule type="expression" dxfId="685" priority="51">
      <formula>WEEKDAY($A37,2)&gt;5</formula>
    </cfRule>
  </conditionalFormatting>
  <conditionalFormatting sqref="K18">
    <cfRule type="expression" dxfId="684" priority="50">
      <formula>WEEKDAY($A18,2)&gt;5</formula>
    </cfRule>
  </conditionalFormatting>
  <conditionalFormatting sqref="A40 A41:K41 A10:K39">
    <cfRule type="expression" dxfId="683" priority="1">
      <formula>$M10="frei"</formula>
    </cfRule>
  </conditionalFormatting>
  <conditionalFormatting sqref="K25">
    <cfRule type="expression" dxfId="682" priority="46">
      <formula>WEEKDAY($A25,2)&gt;5</formula>
    </cfRule>
  </conditionalFormatting>
  <conditionalFormatting sqref="M10:M41">
    <cfRule type="expression" dxfId="681" priority="44">
      <formula>M10="FD"</formula>
    </cfRule>
    <cfRule type="expression" dxfId="680" priority="45">
      <formula>M10="frei"</formula>
    </cfRule>
  </conditionalFormatting>
  <conditionalFormatting sqref="A42">
    <cfRule type="expression" dxfId="679" priority="42">
      <formula>$M42="frei"</formula>
    </cfRule>
  </conditionalFormatting>
  <conditionalFormatting sqref="I40">
    <cfRule type="expression" dxfId="678" priority="34">
      <formula>(G40-F40)&gt;6/24</formula>
    </cfRule>
    <cfRule type="expression" dxfId="677" priority="35">
      <formula>(E40-D40)&gt;6/24</formula>
    </cfRule>
    <cfRule type="expression" dxfId="676" priority="36">
      <formula>(C40-B40)&gt;6/24</formula>
    </cfRule>
    <cfRule type="expression" dxfId="675" priority="38">
      <formula>WEEKDAY($A40,2)&gt;5</formula>
    </cfRule>
  </conditionalFormatting>
  <conditionalFormatting sqref="I40">
    <cfRule type="cellIs" dxfId="674" priority="37" operator="greaterThan">
      <formula>0.416666666666667</formula>
    </cfRule>
  </conditionalFormatting>
  <conditionalFormatting sqref="J40:K40">
    <cfRule type="expression" dxfId="673" priority="33">
      <formula>WEEKDAY($A40,2)&gt;5</formula>
    </cfRule>
  </conditionalFormatting>
  <conditionalFormatting sqref="B40:F40 H40">
    <cfRule type="expression" dxfId="672" priority="32">
      <formula>WEEKDAY($A40,2)&gt;5</formula>
    </cfRule>
  </conditionalFormatting>
  <conditionalFormatting sqref="B40:F40 H40:K40">
    <cfRule type="expression" dxfId="671" priority="31">
      <formula>$M40="frei"</formula>
    </cfRule>
  </conditionalFormatting>
  <conditionalFormatting sqref="G40">
    <cfRule type="expression" dxfId="670" priority="30">
      <formula>WEEKDAY($A40,2)&gt;5</formula>
    </cfRule>
  </conditionalFormatting>
  <conditionalFormatting sqref="G40">
    <cfRule type="expression" dxfId="669" priority="29">
      <formula>$M40="frei"</formula>
    </cfRule>
  </conditionalFormatting>
  <conditionalFormatting sqref="J43 L43">
    <cfRule type="expression" dxfId="668" priority="23">
      <formula>WEEKDAY($A43,2)&gt;5</formula>
    </cfRule>
  </conditionalFormatting>
  <conditionalFormatting sqref="J43 L43">
    <cfRule type="expression" dxfId="667" priority="22">
      <formula>$M43="frei"</formula>
    </cfRule>
  </conditionalFormatting>
  <conditionalFormatting sqref="J42 L42">
    <cfRule type="expression" dxfId="666" priority="21">
      <formula>WEEKDAY($A42,2)&gt;5</formula>
    </cfRule>
  </conditionalFormatting>
  <conditionalFormatting sqref="J42 L42">
    <cfRule type="expression" dxfId="665" priority="20">
      <formula>$M42="frei"</formula>
    </cfRule>
  </conditionalFormatting>
  <conditionalFormatting sqref="K42">
    <cfRule type="expression" dxfId="664" priority="19">
      <formula>WEEKDAY($A42,2)&gt;5</formula>
    </cfRule>
  </conditionalFormatting>
  <conditionalFormatting sqref="K42">
    <cfRule type="expression" dxfId="663" priority="18">
      <formula>$M42="frei"</formula>
    </cfRule>
  </conditionalFormatting>
  <conditionalFormatting sqref="K43">
    <cfRule type="expression" dxfId="662" priority="17">
      <formula>WEEKDAY($A43,2)&gt;5</formula>
    </cfRule>
  </conditionalFormatting>
  <conditionalFormatting sqref="K43">
    <cfRule type="expression" dxfId="661" priority="16">
      <formula>$M43="frei"</formula>
    </cfRule>
  </conditionalFormatting>
  <conditionalFormatting sqref="I46">
    <cfRule type="expression" dxfId="660" priority="15">
      <formula>$I$46&gt;0</formula>
    </cfRule>
  </conditionalFormatting>
  <conditionalFormatting sqref="G30:H30">
    <cfRule type="expression" dxfId="659" priority="14">
      <formula>WEEKDAY($A30,2)&gt;5</formula>
    </cfRule>
  </conditionalFormatting>
  <conditionalFormatting sqref="E30:F30">
    <cfRule type="expression" dxfId="658" priority="13">
      <formula>WEEKDAY($A30,2)&gt;5</formula>
    </cfRule>
  </conditionalFormatting>
  <conditionalFormatting sqref="B11:E11">
    <cfRule type="expression" dxfId="657" priority="12">
      <formula>WEEKDAY($A11,2)&gt;5</formula>
    </cfRule>
  </conditionalFormatting>
  <conditionalFormatting sqref="B12:E12 B15:E15 B18:E18 B21:E21 B24:E24 B27:E27 B30:E30 B33:E33 B36:E36">
    <cfRule type="expression" dxfId="656" priority="47">
      <formula>WEEKDAY($A12,2)&gt;5</formula>
    </cfRule>
  </conditionalFormatting>
  <conditionalFormatting sqref="B15:E15">
    <cfRule type="expression" dxfId="655" priority="10">
      <formula>WEEKDAY($A15,2)&gt;5</formula>
    </cfRule>
  </conditionalFormatting>
  <conditionalFormatting sqref="B16:E16">
    <cfRule type="expression" dxfId="654" priority="9">
      <formula>WEEKDAY($A16,2)&gt;5</formula>
    </cfRule>
  </conditionalFormatting>
  <conditionalFormatting sqref="B17:E17">
    <cfRule type="expression" dxfId="653" priority="8">
      <formula>WEEKDAY($A17,2)&gt;5</formula>
    </cfRule>
  </conditionalFormatting>
  <conditionalFormatting sqref="B18:E18">
    <cfRule type="expression" dxfId="652" priority="7">
      <formula>WEEKDAY($A18,2)&gt;5</formula>
    </cfRule>
  </conditionalFormatting>
  <conditionalFormatting sqref="B19:E19">
    <cfRule type="expression" dxfId="651" priority="11">
      <formula>WEEKDAY($A19,2)&gt;5</formula>
    </cfRule>
  </conditionalFormatting>
  <conditionalFormatting sqref="F22:H22">
    <cfRule type="expression" dxfId="650" priority="5">
      <formula>WEEKDAY($A22,2)&gt;5</formula>
    </cfRule>
  </conditionalFormatting>
  <conditionalFormatting sqref="B22:E22">
    <cfRule type="expression" dxfId="649" priority="4">
      <formula>WEEKDAY($A22,2)&gt;5</formula>
    </cfRule>
  </conditionalFormatting>
  <conditionalFormatting sqref="F23:H23">
    <cfRule type="expression" dxfId="648" priority="3">
      <formula>WEEKDAY($A23,2)&gt;5</formula>
    </cfRule>
  </conditionalFormatting>
  <conditionalFormatting sqref="B23:E23">
    <cfRule type="expression" dxfId="647" priority="2">
      <formula>WEEKDAY($A23,2)&gt;5</formula>
    </cfRule>
  </conditionalFormatting>
  <conditionalFormatting sqref="B19:E19">
    <cfRule type="expression" dxfId="646" priority="6">
      <formula>WEEKDAY($A19,2)&gt;5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14" zoomScaleNormal="100" workbookViewId="0">
      <selection activeCell="K38" sqref="K38"/>
    </sheetView>
  </sheetViews>
  <sheetFormatPr baseColWidth="10" defaultColWidth="11.42578125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9.7109375" style="78" customWidth="1"/>
    <col min="16" max="16" width="10.7109375" style="78" bestFit="1" customWidth="1"/>
    <col min="17" max="17" width="9.28515625" style="78" bestFit="1" customWidth="1"/>
    <col min="18" max="18" width="7.42578125" style="78" customWidth="1"/>
    <col min="19" max="20" width="11.42578125" style="78" customWidth="1"/>
    <col min="21" max="16384" width="11.42578125" style="78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5"/>
      <c r="C2" s="249"/>
      <c r="D2" s="250"/>
      <c r="E2" s="251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45352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+Feb!L7</f>
        <v>25</v>
      </c>
      <c r="U4" s="78" t="b">
        <f>IF(OR(K10="Hl. Josef",Start!$B$14="Tirol"),"frei")</f>
        <v>0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21</v>
      </c>
      <c r="E5" s="74">
        <f>Start!B29</f>
        <v>0.33333333333333331</v>
      </c>
      <c r="F5" s="74">
        <f ca="1">+D5*E5</f>
        <v>7</v>
      </c>
      <c r="G5" s="74">
        <f>+L6*E5</f>
        <v>0</v>
      </c>
      <c r="H5" s="74">
        <f>SUM(J10:J40)</f>
        <v>0</v>
      </c>
      <c r="I5" s="74">
        <f ca="1">+F5-G5-H5</f>
        <v>7</v>
      </c>
      <c r="J5" s="191"/>
      <c r="K5" s="192" t="s">
        <v>19</v>
      </c>
      <c r="L5" s="92">
        <f ca="1">IF(MONTH(L2)=MONTH(A10),L3,0)</f>
        <v>0</v>
      </c>
      <c r="O5" s="24"/>
      <c r="P5" s="24"/>
      <c r="Q5" s="24"/>
      <c r="R5" s="24"/>
      <c r="S5" s="24"/>
      <c r="T5" s="24"/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  <c r="O6" s="24"/>
      <c r="P6" s="24"/>
      <c r="Q6" s="33"/>
      <c r="R6" s="24"/>
      <c r="S6" s="33"/>
      <c r="T6" s="24"/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  <c r="T7" s="24"/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  <c r="T8" s="24"/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  <c r="T9" s="24"/>
    </row>
    <row r="10" spans="1:21" ht="13.5" thickTop="1" x14ac:dyDescent="0.2">
      <c r="A10" s="96">
        <f ca="1">VALUE("1"&amp;REPLACE(CELL("Dateiname",A1),1,FIND("]",CELL("Dateiname",A1)),)&amp;YEAR(Jän!A10))</f>
        <v>45352</v>
      </c>
      <c r="B10" s="75"/>
      <c r="C10" s="72"/>
      <c r="D10" s="72"/>
      <c r="E10" s="72"/>
      <c r="F10" s="75"/>
      <c r="G10" s="75"/>
      <c r="H10" s="72"/>
      <c r="I10" s="71">
        <f t="shared" ref="I10:I40" si="0">(C10-B10)+(E10-D10)+(G10-F10)-H10</f>
        <v>0</v>
      </c>
      <c r="J10" s="72"/>
      <c r="K10" s="239"/>
      <c r="L10" s="95" t="str">
        <f t="shared" ref="L10:L40" ca="1" si="1">IF(TEXT(A10,"TTT")="So",SUM(I4:I10),"")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</v>
      </c>
      <c r="O10" s="82">
        <f t="shared" ref="O10:O40" si="2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ca="1" si="3">O10-P10</f>
        <v>0</v>
      </c>
      <c r="R10" s="68" t="str">
        <f ca="1">IF(Q10&lt;&gt;0,S9+Q10,"")</f>
        <v/>
      </c>
      <c r="S10" s="87">
        <f t="shared" ref="S10:S40" ca="1" si="4">S9+Q10</f>
        <v>0</v>
      </c>
      <c r="T10" s="24"/>
    </row>
    <row r="11" spans="1:21" x14ac:dyDescent="0.2">
      <c r="A11" s="96">
        <f ca="1">IF(A10="","",IF(MONTH(A10+1)=MONTH($A$10),A10+1,""))</f>
        <v>45353</v>
      </c>
      <c r="B11" s="75"/>
      <c r="C11" s="72"/>
      <c r="D11" s="72"/>
      <c r="E11" s="72"/>
      <c r="F11" s="75"/>
      <c r="G11" s="75"/>
      <c r="H11" s="75"/>
      <c r="I11" s="71">
        <f t="shared" si="0"/>
        <v>0</v>
      </c>
      <c r="J11" s="72"/>
      <c r="K11" s="77"/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frei</v>
      </c>
      <c r="N11" s="147"/>
      <c r="O11" s="82">
        <f t="shared" si="2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40" ca="1" si="5">IF(Q11&lt;&gt;0,S10+Q11,"")</f>
        <v/>
      </c>
      <c r="S11" s="87">
        <f t="shared" ca="1" si="4"/>
        <v>0</v>
      </c>
      <c r="T11" s="24"/>
    </row>
    <row r="12" spans="1:21" x14ac:dyDescent="0.2">
      <c r="A12" s="96">
        <f t="shared" ref="A12:A40" ca="1" si="6">IF(A11="","",IF(MONTH(A11+1)=MONTH($A$10),A11+1,""))</f>
        <v>45354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>
        <f t="shared" ca="1" si="1"/>
        <v>0</v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frei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  <c r="T12" s="24"/>
    </row>
    <row r="13" spans="1:21" x14ac:dyDescent="0.2">
      <c r="A13" s="96">
        <f t="shared" ca="1" si="6"/>
        <v>45355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19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Mo</v>
      </c>
      <c r="N13" s="147"/>
      <c r="O13" s="82">
        <f t="shared" si="2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  <c r="T13" s="24"/>
    </row>
    <row r="14" spans="1:21" x14ac:dyDescent="0.2">
      <c r="A14" s="96">
        <f t="shared" ca="1" si="6"/>
        <v>45356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Di</v>
      </c>
      <c r="N14" s="147"/>
      <c r="O14" s="82">
        <f t="shared" si="2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  <c r="T14" s="24"/>
    </row>
    <row r="15" spans="1:21" x14ac:dyDescent="0.2">
      <c r="A15" s="96">
        <f t="shared" ca="1" si="6"/>
        <v>45357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Mi</v>
      </c>
      <c r="N15" s="147"/>
      <c r="O15" s="82">
        <f t="shared" si="2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  <c r="T15" s="24"/>
    </row>
    <row r="16" spans="1:21" x14ac:dyDescent="0.2">
      <c r="A16" s="96">
        <f t="shared" ca="1" si="6"/>
        <v>45358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Do</v>
      </c>
      <c r="N16" s="147"/>
      <c r="O16" s="82">
        <f t="shared" si="2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  <c r="T16" s="24"/>
    </row>
    <row r="17" spans="1:20" x14ac:dyDescent="0.2">
      <c r="A17" s="96">
        <f t="shared" ca="1" si="6"/>
        <v>45359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Fr</v>
      </c>
      <c r="N17" s="147"/>
      <c r="O17" s="82">
        <f t="shared" si="2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  <c r="T17" s="24"/>
    </row>
    <row r="18" spans="1:20" x14ac:dyDescent="0.2">
      <c r="A18" s="96">
        <f t="shared" ca="1" si="6"/>
        <v>45360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frei</v>
      </c>
      <c r="N18" s="147"/>
      <c r="O18" s="82">
        <f t="shared" si="2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4"/>
        <v>0</v>
      </c>
      <c r="T18" s="24"/>
    </row>
    <row r="19" spans="1:20" x14ac:dyDescent="0.2">
      <c r="A19" s="96">
        <f t="shared" ca="1" si="6"/>
        <v>45361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>
        <f t="shared" ca="1" si="1"/>
        <v>0</v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frei</v>
      </c>
      <c r="N19" s="147"/>
      <c r="O19" s="82">
        <f t="shared" si="2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  <c r="T19" s="24"/>
    </row>
    <row r="20" spans="1:20" x14ac:dyDescent="0.2">
      <c r="A20" s="96">
        <f t="shared" ca="1" si="6"/>
        <v>45362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Mo</v>
      </c>
      <c r="N20" s="147"/>
      <c r="O20" s="82">
        <f t="shared" si="2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  <c r="T20" s="24"/>
    </row>
    <row r="21" spans="1:20" x14ac:dyDescent="0.2">
      <c r="A21" s="96">
        <f t="shared" ca="1" si="6"/>
        <v>45363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Di</v>
      </c>
      <c r="N21" s="147"/>
      <c r="O21" s="82">
        <f t="shared" si="2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  <c r="T21" s="24"/>
    </row>
    <row r="22" spans="1:20" x14ac:dyDescent="0.2">
      <c r="A22" s="96">
        <f t="shared" ca="1" si="6"/>
        <v>45364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Mi</v>
      </c>
      <c r="N22" s="147"/>
      <c r="O22" s="82">
        <f t="shared" si="2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  <c r="T22" s="24"/>
    </row>
    <row r="23" spans="1:20" x14ac:dyDescent="0.2">
      <c r="A23" s="96">
        <f t="shared" ca="1" si="6"/>
        <v>45365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Do</v>
      </c>
      <c r="N23" s="147"/>
      <c r="O23" s="82">
        <f t="shared" si="2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  <c r="T23" s="24"/>
    </row>
    <row r="24" spans="1:20" x14ac:dyDescent="0.2">
      <c r="A24" s="96">
        <f t="shared" ca="1" si="6"/>
        <v>45366</v>
      </c>
      <c r="B24" s="75"/>
      <c r="C24" s="72"/>
      <c r="D24" s="72"/>
      <c r="E24" s="72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Fr</v>
      </c>
      <c r="N24" s="147"/>
      <c r="O24" s="82">
        <f t="shared" si="2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  <c r="T24" s="24"/>
    </row>
    <row r="25" spans="1:20" x14ac:dyDescent="0.2">
      <c r="A25" s="96">
        <f t="shared" ca="1" si="6"/>
        <v>45367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frei</v>
      </c>
      <c r="N25" s="147"/>
      <c r="O25" s="82">
        <f t="shared" si="2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  <c r="T25" s="24"/>
    </row>
    <row r="26" spans="1:20" x14ac:dyDescent="0.2">
      <c r="A26" s="96">
        <f t="shared" ca="1" si="6"/>
        <v>45368</v>
      </c>
      <c r="B26" s="75"/>
      <c r="C26" s="72"/>
      <c r="D26" s="72"/>
      <c r="E26" s="72"/>
      <c r="F26" s="75"/>
      <c r="G26" s="72"/>
      <c r="H26" s="72"/>
      <c r="I26" s="71">
        <f t="shared" si="0"/>
        <v>0</v>
      </c>
      <c r="J26" s="72"/>
      <c r="K26" s="77"/>
      <c r="L26" s="95">
        <f t="shared" ca="1" si="1"/>
        <v>0</v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frei</v>
      </c>
      <c r="N26" s="147"/>
      <c r="O26" s="82">
        <f t="shared" si="2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  <c r="T26" s="24"/>
    </row>
    <row r="27" spans="1:20" x14ac:dyDescent="0.2">
      <c r="A27" s="96">
        <f t="shared" ca="1" si="6"/>
        <v>45369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Mo</v>
      </c>
      <c r="N27" s="147"/>
      <c r="O27" s="82">
        <f t="shared" si="2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  <c r="T27" s="24"/>
    </row>
    <row r="28" spans="1:20" x14ac:dyDescent="0.2">
      <c r="A28" s="96">
        <f t="shared" ca="1" si="6"/>
        <v>45370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 t="s">
        <v>216</v>
      </c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Di</v>
      </c>
      <c r="N28" s="147"/>
      <c r="O28" s="82">
        <f t="shared" si="2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  <c r="T28" s="24"/>
    </row>
    <row r="29" spans="1:20" x14ac:dyDescent="0.2">
      <c r="A29" s="96">
        <f t="shared" ca="1" si="6"/>
        <v>45371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Mi</v>
      </c>
      <c r="N29" s="147"/>
      <c r="O29" s="82">
        <f t="shared" si="2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3"/>
        <v>0</v>
      </c>
      <c r="R29" s="68" t="str">
        <f t="shared" ca="1" si="5"/>
        <v/>
      </c>
      <c r="S29" s="87">
        <f t="shared" ca="1" si="4"/>
        <v>0</v>
      </c>
      <c r="T29" s="24"/>
    </row>
    <row r="30" spans="1:20" x14ac:dyDescent="0.2">
      <c r="A30" s="96">
        <f t="shared" ca="1" si="6"/>
        <v>45372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Do</v>
      </c>
      <c r="N30" s="147"/>
      <c r="O30" s="82">
        <f t="shared" si="2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  <c r="T30" s="24"/>
    </row>
    <row r="31" spans="1:20" x14ac:dyDescent="0.2">
      <c r="A31" s="96">
        <f t="shared" ca="1" si="6"/>
        <v>45373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Fr</v>
      </c>
      <c r="N31" s="147"/>
      <c r="O31" s="82">
        <f t="shared" si="2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  <c r="T31" s="24"/>
    </row>
    <row r="32" spans="1:20" x14ac:dyDescent="0.2">
      <c r="A32" s="96">
        <f t="shared" ca="1" si="6"/>
        <v>45374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frei</v>
      </c>
      <c r="N32" s="147"/>
      <c r="O32" s="82">
        <f t="shared" si="2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  <c r="T32" s="24"/>
    </row>
    <row r="33" spans="1:20" x14ac:dyDescent="0.2">
      <c r="A33" s="96">
        <f t="shared" ca="1" si="6"/>
        <v>45375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>
        <f t="shared" ca="1" si="1"/>
        <v>0</v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frei</v>
      </c>
      <c r="N33" s="147"/>
      <c r="O33" s="82">
        <f t="shared" si="2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  <c r="T33" s="24"/>
    </row>
    <row r="34" spans="1:20" x14ac:dyDescent="0.2">
      <c r="A34" s="96">
        <f t="shared" ca="1" si="6"/>
        <v>45376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Mo</v>
      </c>
      <c r="N34" s="147"/>
      <c r="O34" s="82">
        <f t="shared" si="2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  <c r="T34" s="24"/>
    </row>
    <row r="35" spans="1:20" x14ac:dyDescent="0.2">
      <c r="A35" s="96">
        <f t="shared" ca="1" si="6"/>
        <v>45377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Di</v>
      </c>
      <c r="N35" s="147"/>
      <c r="O35" s="82">
        <f t="shared" si="2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  <c r="T35" s="24"/>
    </row>
    <row r="36" spans="1:20" x14ac:dyDescent="0.2">
      <c r="A36" s="96">
        <f t="shared" ca="1" si="6"/>
        <v>45378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Mi</v>
      </c>
      <c r="N36" s="147"/>
      <c r="O36" s="82">
        <f t="shared" si="2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  <c r="T36" s="24"/>
    </row>
    <row r="37" spans="1:20" x14ac:dyDescent="0.2">
      <c r="A37" s="96">
        <f t="shared" ca="1" si="6"/>
        <v>45379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 t="s">
        <v>217</v>
      </c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Do</v>
      </c>
      <c r="N37" s="147"/>
      <c r="O37" s="82">
        <f t="shared" si="2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  <c r="T37" s="24"/>
    </row>
    <row r="38" spans="1:20" x14ac:dyDescent="0.2">
      <c r="A38" s="96">
        <f t="shared" ca="1" si="6"/>
        <v>45380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 t="s">
        <v>218</v>
      </c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Fr</v>
      </c>
      <c r="N38" s="147"/>
      <c r="O38" s="82">
        <f t="shared" si="2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3"/>
        <v>0</v>
      </c>
      <c r="R38" s="68" t="str">
        <f t="shared" ca="1" si="5"/>
        <v/>
      </c>
      <c r="S38" s="87">
        <f t="shared" ca="1" si="4"/>
        <v>0</v>
      </c>
      <c r="T38" s="24"/>
    </row>
    <row r="39" spans="1:20" x14ac:dyDescent="0.2">
      <c r="A39" s="96">
        <f t="shared" ca="1" si="6"/>
        <v>45381</v>
      </c>
      <c r="B39" s="75"/>
      <c r="C39" s="72"/>
      <c r="D39" s="72"/>
      <c r="E39" s="72"/>
      <c r="F39" s="75"/>
      <c r="G39" s="76"/>
      <c r="H39" s="72"/>
      <c r="I39" s="71">
        <f t="shared" si="0"/>
        <v>0</v>
      </c>
      <c r="J39" s="72"/>
      <c r="K39" s="77" t="s">
        <v>37</v>
      </c>
      <c r="L39" s="95" t="str">
        <f t="shared" ca="1" si="1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frei</v>
      </c>
      <c r="N39" s="147"/>
      <c r="O39" s="82">
        <f t="shared" si="2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3"/>
        <v>0</v>
      </c>
      <c r="R39" s="68" t="str">
        <f t="shared" ca="1" si="5"/>
        <v/>
      </c>
      <c r="S39" s="87">
        <f t="shared" ca="1" si="4"/>
        <v>0</v>
      </c>
      <c r="T39" s="24"/>
    </row>
    <row r="40" spans="1:20" x14ac:dyDescent="0.2">
      <c r="A40" s="96">
        <f t="shared" ca="1" si="6"/>
        <v>45382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 t="s">
        <v>36</v>
      </c>
      <c r="L40" s="95">
        <f t="shared" ca="1" si="1"/>
        <v>0</v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frei</v>
      </c>
      <c r="N40" s="147"/>
      <c r="O40" s="82">
        <f t="shared" si="2"/>
        <v>0</v>
      </c>
      <c r="P40" s="82">
        <f ca="1"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ca="1" si="3"/>
        <v>0</v>
      </c>
      <c r="R40" s="68" t="str">
        <f t="shared" ca="1" si="5"/>
        <v/>
      </c>
      <c r="S40" s="87">
        <f t="shared" ca="1" si="4"/>
        <v>0</v>
      </c>
      <c r="T40" s="24"/>
    </row>
    <row r="41" spans="1:20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  <c r="T41" s="24"/>
    </row>
    <row r="42" spans="1:20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IF(OR(I43&gt;0,G5&gt;0,H5&gt;0),IF(AND(Feb!I43=0,Feb!G5=0,Feb!H5=0),Start!B40,Feb!L47),0)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  <c r="T42" s="24"/>
    </row>
    <row r="43" spans="1:20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  <c r="T43" s="24"/>
    </row>
    <row r="44" spans="1:20" ht="21.7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13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  <c r="T44" s="24"/>
    </row>
    <row r="45" spans="1:20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13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  <c r="T45" s="24"/>
    </row>
    <row r="46" spans="1:20" ht="15.7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13"/>
      <c r="K46" s="306"/>
      <c r="L46" s="300"/>
      <c r="M46" s="79"/>
      <c r="N46" s="79"/>
      <c r="O46" s="243"/>
      <c r="P46" s="243"/>
      <c r="Q46" s="243"/>
      <c r="R46" s="243"/>
      <c r="S46" s="243"/>
      <c r="T46" s="24"/>
    </row>
    <row r="47" spans="1:20" ht="27.7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310"/>
      <c r="K47" s="312" t="s">
        <v>45</v>
      </c>
      <c r="L47" s="296">
        <f>IF(I47=0,0,IF(L42="",I47-L43,I47-L43+L45))</f>
        <v>0</v>
      </c>
      <c r="O47" s="33"/>
      <c r="P47" s="33"/>
      <c r="Q47" s="65"/>
      <c r="R47" s="33"/>
      <c r="S47" s="33"/>
      <c r="T47" s="24"/>
    </row>
    <row r="48" spans="1:20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  <c r="O48" s="33"/>
      <c r="P48" s="33"/>
      <c r="Q48" s="65"/>
      <c r="R48" s="33"/>
      <c r="S48" s="24"/>
      <c r="T48" s="24"/>
    </row>
    <row r="49" spans="1:20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  <c r="O49" s="33"/>
      <c r="P49" s="33"/>
      <c r="Q49" s="33"/>
      <c r="R49" s="33"/>
      <c r="S49" s="33"/>
      <c r="T49" s="24"/>
    </row>
    <row r="50" spans="1:20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20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20" x14ac:dyDescent="0.2"/>
  </sheetData>
  <sheetProtection password="DB57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A41">
    <cfRule type="expression" dxfId="645" priority="165">
      <formula>WEEKDAY($A10,2)&gt;5</formula>
    </cfRule>
  </conditionalFormatting>
  <conditionalFormatting sqref="L47">
    <cfRule type="cellIs" dxfId="644" priority="149" operator="greaterThan">
      <formula>80</formula>
    </cfRule>
  </conditionalFormatting>
  <conditionalFormatting sqref="L41 L10:L39">
    <cfRule type="expression" dxfId="643" priority="69">
      <formula>WEEKDAY($A10,2)&gt;5</formula>
    </cfRule>
  </conditionalFormatting>
  <conditionalFormatting sqref="L41 L10:L39">
    <cfRule type="cellIs" dxfId="642" priority="68" operator="greaterThan">
      <formula>2.08333333333333</formula>
    </cfRule>
  </conditionalFormatting>
  <conditionalFormatting sqref="L41 L10:L39">
    <cfRule type="expression" dxfId="641" priority="67">
      <formula>L10=""</formula>
    </cfRule>
  </conditionalFormatting>
  <conditionalFormatting sqref="I10:I39 I41">
    <cfRule type="expression" dxfId="640" priority="62">
      <formula>(G10-F10)&gt;6/24</formula>
    </cfRule>
    <cfRule type="expression" dxfId="639" priority="63">
      <formula>(E10-D10)&gt;6/24</formula>
    </cfRule>
    <cfRule type="expression" dxfId="638" priority="64">
      <formula>(C10-B10)&gt;6/24</formula>
    </cfRule>
    <cfRule type="expression" dxfId="637" priority="66">
      <formula>WEEKDAY($A10,2)&gt;5</formula>
    </cfRule>
  </conditionalFormatting>
  <conditionalFormatting sqref="I10:I39 I41">
    <cfRule type="cellIs" dxfId="636" priority="65" operator="greaterThan">
      <formula>0.416666666666667</formula>
    </cfRule>
  </conditionalFormatting>
  <conditionalFormatting sqref="B15:H15 D13:H13 F14:H14 F10:H12 B21:H22 F16:H19 D20:H20 B25:H25 F23:H24 F26:H26 B32:H37 F30:H31 F38:H39 F41:H41 B27:H29">
    <cfRule type="expression" dxfId="635" priority="61">
      <formula>WEEKDAY($A10,2)&gt;5</formula>
    </cfRule>
  </conditionalFormatting>
  <conditionalFormatting sqref="B14:E14">
    <cfRule type="expression" dxfId="634" priority="60">
      <formula>WEEKDAY($A14,2)&gt;5</formula>
    </cfRule>
  </conditionalFormatting>
  <conditionalFormatting sqref="B10:E40">
    <cfRule type="expression" dxfId="633" priority="59">
      <formula>WEEKDAY($A10,2)&gt;5</formula>
    </cfRule>
  </conditionalFormatting>
  <conditionalFormatting sqref="B11:E11">
    <cfRule type="expression" dxfId="632" priority="58">
      <formula>WEEKDAY($A11,2)&gt;5</formula>
    </cfRule>
  </conditionalFormatting>
  <conditionalFormatting sqref="B12:E12">
    <cfRule type="expression" dxfId="631" priority="57">
      <formula>WEEKDAY($A12,2)&gt;5</formula>
    </cfRule>
  </conditionalFormatting>
  <conditionalFormatting sqref="B13:C13">
    <cfRule type="expression" dxfId="630" priority="56">
      <formula>WEEKDAY($A13,2)&gt;5</formula>
    </cfRule>
  </conditionalFormatting>
  <conditionalFormatting sqref="B16:E16">
    <cfRule type="expression" dxfId="629" priority="55">
      <formula>WEEKDAY($A16,2)&gt;5</formula>
    </cfRule>
  </conditionalFormatting>
  <conditionalFormatting sqref="B17:E17">
    <cfRule type="expression" dxfId="628" priority="54">
      <formula>WEEKDAY($A17,2)&gt;5</formula>
    </cfRule>
  </conditionalFormatting>
  <conditionalFormatting sqref="B18:E18">
    <cfRule type="expression" dxfId="627" priority="53">
      <formula>WEEKDAY($A18,2)&gt;5</formula>
    </cfRule>
  </conditionalFormatting>
  <conditionalFormatting sqref="B19:E19">
    <cfRule type="expression" dxfId="626" priority="52">
      <formula>WEEKDAY($A19,2)&gt;5</formula>
    </cfRule>
  </conditionalFormatting>
  <conditionalFormatting sqref="B20:C20">
    <cfRule type="expression" dxfId="625" priority="51">
      <formula>WEEKDAY($A20,2)&gt;5</formula>
    </cfRule>
  </conditionalFormatting>
  <conditionalFormatting sqref="B23:E23">
    <cfRule type="expression" dxfId="624" priority="50">
      <formula>WEEKDAY($A23,2)&gt;5</formula>
    </cfRule>
  </conditionalFormatting>
  <conditionalFormatting sqref="B24:E24">
    <cfRule type="expression" dxfId="623" priority="49">
      <formula>WEEKDAY($A24,2)&gt;5</formula>
    </cfRule>
  </conditionalFormatting>
  <conditionalFormatting sqref="B26:E26">
    <cfRule type="expression" dxfId="622" priority="48">
      <formula>WEEKDAY($A26,2)&gt;5</formula>
    </cfRule>
  </conditionalFormatting>
  <conditionalFormatting sqref="B27:C27">
    <cfRule type="expression" dxfId="621" priority="47">
      <formula>WEEKDAY($A27,2)&gt;5</formula>
    </cfRule>
  </conditionalFormatting>
  <conditionalFormatting sqref="B30:E30">
    <cfRule type="expression" dxfId="620" priority="46">
      <formula>WEEKDAY($A30,2)&gt;5</formula>
    </cfRule>
  </conditionalFormatting>
  <conditionalFormatting sqref="B31:E31">
    <cfRule type="expression" dxfId="619" priority="45">
      <formula>WEEKDAY($A31,2)&gt;5</formula>
    </cfRule>
  </conditionalFormatting>
  <conditionalFormatting sqref="B38:E38">
    <cfRule type="expression" dxfId="618" priority="44">
      <formula>WEEKDAY($A38,2)&gt;5</formula>
    </cfRule>
  </conditionalFormatting>
  <conditionalFormatting sqref="B39:E39">
    <cfRule type="expression" dxfId="617" priority="43">
      <formula>WEEKDAY($A39,2)&gt;5</formula>
    </cfRule>
  </conditionalFormatting>
  <conditionalFormatting sqref="B41:E41">
    <cfRule type="expression" dxfId="616" priority="42">
      <formula>WEEKDAY($A41,2)&gt;5</formula>
    </cfRule>
  </conditionalFormatting>
  <conditionalFormatting sqref="J38:K39 J33:J37 J10 J41:K41 J11:K32">
    <cfRule type="expression" dxfId="615" priority="41">
      <formula>WEEKDAY($A10,2)&gt;5</formula>
    </cfRule>
  </conditionalFormatting>
  <conditionalFormatting sqref="K33:K37">
    <cfRule type="expression" dxfId="614" priority="40">
      <formula>WEEKDAY($A33,2)&gt;5</formula>
    </cfRule>
  </conditionalFormatting>
  <conditionalFormatting sqref="A10:J10 A40 A41:K41 A11:K39">
    <cfRule type="expression" dxfId="613" priority="39">
      <formula>$M10="frei"</formula>
    </cfRule>
  </conditionalFormatting>
  <conditionalFormatting sqref="M10:M41">
    <cfRule type="expression" dxfId="612" priority="37">
      <formula>M10="FD"</formula>
    </cfRule>
    <cfRule type="expression" dxfId="611" priority="38">
      <formula>M10="frei"</formula>
    </cfRule>
  </conditionalFormatting>
  <conditionalFormatting sqref="K10">
    <cfRule type="expression" dxfId="610" priority="35">
      <formula>WEEKDAY($A10,2)&gt;5</formula>
    </cfRule>
  </conditionalFormatting>
  <conditionalFormatting sqref="K10">
    <cfRule type="expression" dxfId="609" priority="34">
      <formula>$M10="frei"</formula>
    </cfRule>
  </conditionalFormatting>
  <conditionalFormatting sqref="K10">
    <cfRule type="expression" dxfId="608" priority="33">
      <formula>WEEKDAY($A10,2)&gt;5</formula>
    </cfRule>
  </conditionalFormatting>
  <conditionalFormatting sqref="A42">
    <cfRule type="expression" dxfId="607" priority="31">
      <formula>$M42="frei"</formula>
    </cfRule>
  </conditionalFormatting>
  <conditionalFormatting sqref="I40">
    <cfRule type="expression" dxfId="606" priority="23">
      <formula>(G40-F40)&gt;6/24</formula>
    </cfRule>
    <cfRule type="expression" dxfId="605" priority="24">
      <formula>(E40-D40)&gt;6/24</formula>
    </cfRule>
    <cfRule type="expression" dxfId="604" priority="25">
      <formula>(C40-B40)&gt;6/24</formula>
    </cfRule>
    <cfRule type="expression" dxfId="603" priority="27">
      <formula>WEEKDAY($A40,2)&gt;5</formula>
    </cfRule>
  </conditionalFormatting>
  <conditionalFormatting sqref="I40">
    <cfRule type="cellIs" dxfId="602" priority="26" operator="greaterThan">
      <formula>0.416666666666667</formula>
    </cfRule>
  </conditionalFormatting>
  <conditionalFormatting sqref="F40 H40">
    <cfRule type="expression" dxfId="601" priority="22">
      <formula>WEEKDAY($A40,2)&gt;5</formula>
    </cfRule>
  </conditionalFormatting>
  <conditionalFormatting sqref="B40:E40">
    <cfRule type="expression" dxfId="600" priority="21">
      <formula>WEEKDAY($A40,2)&gt;5</formula>
    </cfRule>
  </conditionalFormatting>
  <conditionalFormatting sqref="J40:K40">
    <cfRule type="expression" dxfId="599" priority="20">
      <formula>WEEKDAY($A40,2)&gt;5</formula>
    </cfRule>
  </conditionalFormatting>
  <conditionalFormatting sqref="B40:F40 H40:K40">
    <cfRule type="expression" dxfId="598" priority="19">
      <formula>$M40="frei"</formula>
    </cfRule>
  </conditionalFormatting>
  <conditionalFormatting sqref="G40">
    <cfRule type="expression" dxfId="597" priority="18">
      <formula>WEEKDAY($A40,2)&gt;5</formula>
    </cfRule>
  </conditionalFormatting>
  <conditionalFormatting sqref="G40">
    <cfRule type="expression" dxfId="596" priority="17">
      <formula>$M40="frei"</formula>
    </cfRule>
  </conditionalFormatting>
  <conditionalFormatting sqref="L40">
    <cfRule type="expression" dxfId="595" priority="16">
      <formula>WEEKDAY($A40,2)&gt;5</formula>
    </cfRule>
  </conditionalFormatting>
  <conditionalFormatting sqref="L40">
    <cfRule type="cellIs" dxfId="594" priority="15" operator="greaterThan">
      <formula>2.08333333333333</formula>
    </cfRule>
  </conditionalFormatting>
  <conditionalFormatting sqref="L40">
    <cfRule type="expression" dxfId="593" priority="14">
      <formula>L40=""</formula>
    </cfRule>
  </conditionalFormatting>
  <conditionalFormatting sqref="J43 L43">
    <cfRule type="expression" dxfId="592" priority="11">
      <formula>WEEKDAY($A43,2)&gt;5</formula>
    </cfRule>
  </conditionalFormatting>
  <conditionalFormatting sqref="J43 L43">
    <cfRule type="expression" dxfId="591" priority="10">
      <formula>$M43="frei"</formula>
    </cfRule>
  </conditionalFormatting>
  <conditionalFormatting sqref="J42 L42">
    <cfRule type="expression" dxfId="590" priority="9">
      <formula>WEEKDAY($A42,2)&gt;5</formula>
    </cfRule>
  </conditionalFormatting>
  <conditionalFormatting sqref="J42 L42">
    <cfRule type="expression" dxfId="589" priority="8">
      <formula>$M42="frei"</formula>
    </cfRule>
  </conditionalFormatting>
  <conditionalFormatting sqref="K42">
    <cfRule type="expression" dxfId="588" priority="7">
      <formula>WEEKDAY($A42,2)&gt;5</formula>
    </cfRule>
  </conditionalFormatting>
  <conditionalFormatting sqref="K42">
    <cfRule type="expression" dxfId="587" priority="6">
      <formula>$M42="frei"</formula>
    </cfRule>
  </conditionalFormatting>
  <conditionalFormatting sqref="K43">
    <cfRule type="expression" dxfId="586" priority="5">
      <formula>WEEKDAY($A43,2)&gt;5</formula>
    </cfRule>
  </conditionalFormatting>
  <conditionalFormatting sqref="K43">
    <cfRule type="expression" dxfId="585" priority="4">
      <formula>$M43="frei"</formula>
    </cfRule>
  </conditionalFormatting>
  <conditionalFormatting sqref="I46">
    <cfRule type="expression" dxfId="584" priority="3">
      <formula>$I$46&gt;0</formula>
    </cfRule>
  </conditionalFormatting>
  <conditionalFormatting sqref="B28:C28">
    <cfRule type="expression" dxfId="583" priority="2">
      <formula>WEEKDAY($A28,2)&gt;5</formula>
    </cfRule>
  </conditionalFormatting>
  <conditionalFormatting sqref="B28:C28">
    <cfRule type="expression" dxfId="582" priority="1">
      <formula>WEEKDAY($A28,2)&gt;5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22" zoomScaleNormal="100" workbookViewId="0">
      <selection activeCell="M40" sqref="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8.4257812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5" style="78" customWidth="1"/>
    <col min="15" max="15" width="9.7109375" style="78" customWidth="1"/>
    <col min="16" max="16" width="10.7109375" style="78" bestFit="1" customWidth="1"/>
    <col min="17" max="17" width="9.28515625" style="78" bestFit="1" customWidth="1"/>
    <col min="18" max="18" width="8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45383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+Mär!L7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21</v>
      </c>
      <c r="E5" s="74">
        <f>Start!B29</f>
        <v>0.33333333333333331</v>
      </c>
      <c r="F5" s="74">
        <f ca="1">+D5*E5</f>
        <v>7</v>
      </c>
      <c r="G5" s="74">
        <f>+L6*E5</f>
        <v>0</v>
      </c>
      <c r="H5" s="74">
        <f>SUM(J10:J40)</f>
        <v>0</v>
      </c>
      <c r="I5" s="74">
        <f ca="1">+F5-G5-H5</f>
        <v>7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21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45383</v>
      </c>
      <c r="B10" s="75"/>
      <c r="C10" s="72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 t="s">
        <v>27</v>
      </c>
      <c r="L10" s="133" t="str">
        <f t="shared" ref="L10:L40" ca="1" si="1">IF(TEXT(A10,"TTT")="So",SUM(I4:I10),"")</f>
        <v/>
      </c>
      <c r="M10" s="159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39" si="2">(I10+J10)*24</f>
        <v>0</v>
      </c>
      <c r="P10" s="82">
        <f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21" si="3">O10-P10</f>
        <v>0</v>
      </c>
      <c r="R10" s="68" t="str">
        <f t="shared" ref="R10:R21" si="4">IF(Q10&lt;&gt;0,S9+Q10,"")</f>
        <v/>
      </c>
      <c r="S10" s="87">
        <f t="shared" ref="S10:S39" si="5">S9+Q10</f>
        <v>0</v>
      </c>
    </row>
    <row r="11" spans="1:21" x14ac:dyDescent="0.2">
      <c r="A11" s="96">
        <f t="shared" ref="A11:A40" ca="1" si="6">IF(A10="","",IF(MONTH(A10+1)=MONTH($A$10),A10+1,""))</f>
        <v>45384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ca="1">IF(TEXT(A11,"TTT")="So",SUM(I10:I11),"")</f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Di</v>
      </c>
      <c r="N11" s="147"/>
      <c r="O11" s="82">
        <f t="shared" si="2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ca="1" si="4"/>
        <v/>
      </c>
      <c r="S11" s="87">
        <f t="shared" ca="1" si="5"/>
        <v>0</v>
      </c>
    </row>
    <row r="12" spans="1:21" x14ac:dyDescent="0.2">
      <c r="A12" s="96">
        <f t="shared" ca="1" si="6"/>
        <v>45385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/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Mi</v>
      </c>
      <c r="N12" s="147"/>
      <c r="O12" s="82">
        <f t="shared" si="2"/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4"/>
        <v/>
      </c>
      <c r="S12" s="87">
        <f t="shared" ca="1" si="5"/>
        <v>0</v>
      </c>
    </row>
    <row r="13" spans="1:21" x14ac:dyDescent="0.2">
      <c r="A13" s="96">
        <f t="shared" ca="1" si="6"/>
        <v>45386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/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Do</v>
      </c>
      <c r="N13" s="147"/>
      <c r="O13" s="82">
        <f t="shared" si="2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4"/>
        <v/>
      </c>
      <c r="S13" s="87">
        <f t="shared" ca="1" si="5"/>
        <v>0</v>
      </c>
    </row>
    <row r="14" spans="1:21" x14ac:dyDescent="0.2">
      <c r="A14" s="96">
        <f t="shared" ca="1" si="6"/>
        <v>45387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Fr</v>
      </c>
      <c r="N14" s="147"/>
      <c r="O14" s="82">
        <f t="shared" si="2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4"/>
        <v/>
      </c>
      <c r="S14" s="87">
        <f t="shared" ca="1" si="5"/>
        <v>0</v>
      </c>
    </row>
    <row r="15" spans="1:21" x14ac:dyDescent="0.2">
      <c r="A15" s="96">
        <f t="shared" ca="1" si="6"/>
        <v>45388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frei</v>
      </c>
      <c r="N15" s="147"/>
      <c r="O15" s="82">
        <f t="shared" si="2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4"/>
        <v/>
      </c>
      <c r="S15" s="87">
        <f t="shared" ca="1" si="5"/>
        <v>0</v>
      </c>
    </row>
    <row r="16" spans="1:21" x14ac:dyDescent="0.2">
      <c r="A16" s="96">
        <f t="shared" ca="1" si="6"/>
        <v>45389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>
        <f t="shared" ca="1" si="1"/>
        <v>0</v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frei</v>
      </c>
      <c r="N16" s="147"/>
      <c r="O16" s="82">
        <f t="shared" si="2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4"/>
        <v/>
      </c>
      <c r="S16" s="87">
        <f t="shared" ca="1" si="5"/>
        <v>0</v>
      </c>
    </row>
    <row r="17" spans="1:19" x14ac:dyDescent="0.2">
      <c r="A17" s="96">
        <f t="shared" ca="1" si="6"/>
        <v>45390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Mo</v>
      </c>
      <c r="N17" s="147"/>
      <c r="O17" s="82">
        <f t="shared" si="2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4"/>
        <v/>
      </c>
      <c r="S17" s="87">
        <f t="shared" ca="1" si="5"/>
        <v>0</v>
      </c>
    </row>
    <row r="18" spans="1:19" x14ac:dyDescent="0.2">
      <c r="A18" s="96">
        <f t="shared" ca="1" si="6"/>
        <v>45391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/>
      <c r="L18" s="95" t="str">
        <f t="shared" ca="1" si="1"/>
        <v/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Di</v>
      </c>
      <c r="N18" s="147"/>
      <c r="O18" s="82">
        <f t="shared" si="2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t="shared" ca="1" si="3"/>
        <v>0</v>
      </c>
      <c r="R18" s="68" t="str">
        <f t="shared" ca="1" si="4"/>
        <v/>
      </c>
      <c r="S18" s="87">
        <f t="shared" ca="1" si="5"/>
        <v>0</v>
      </c>
    </row>
    <row r="19" spans="1:19" x14ac:dyDescent="0.2">
      <c r="A19" s="96">
        <f t="shared" ca="1" si="6"/>
        <v>45392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Mi</v>
      </c>
      <c r="N19" s="147"/>
      <c r="O19" s="82">
        <f t="shared" si="2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4"/>
        <v/>
      </c>
      <c r="S19" s="87">
        <f t="shared" ca="1" si="5"/>
        <v>0</v>
      </c>
    </row>
    <row r="20" spans="1:19" x14ac:dyDescent="0.2">
      <c r="A20" s="96">
        <f t="shared" ca="1" si="6"/>
        <v>45393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Do</v>
      </c>
      <c r="N20" s="147"/>
      <c r="O20" s="82">
        <f t="shared" si="2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4"/>
        <v/>
      </c>
      <c r="S20" s="87">
        <f t="shared" ca="1" si="5"/>
        <v>0</v>
      </c>
    </row>
    <row r="21" spans="1:19" x14ac:dyDescent="0.2">
      <c r="A21" s="96">
        <f t="shared" ca="1" si="6"/>
        <v>45394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Fr</v>
      </c>
      <c r="N21" s="147"/>
      <c r="O21" s="82">
        <f t="shared" si="2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4"/>
        <v/>
      </c>
      <c r="S21" s="87">
        <f t="shared" ca="1" si="5"/>
        <v>0</v>
      </c>
    </row>
    <row r="22" spans="1:19" x14ac:dyDescent="0.2">
      <c r="A22" s="96">
        <f t="shared" ca="1" si="6"/>
        <v>45395</v>
      </c>
      <c r="B22" s="75"/>
      <c r="C22" s="72"/>
      <c r="D22" s="72"/>
      <c r="E22" s="72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frei</v>
      </c>
      <c r="N22" s="147"/>
      <c r="O22" s="82">
        <f t="shared" si="2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ref="Q22:Q26" ca="1" si="7">O22-P22</f>
        <v>0</v>
      </c>
      <c r="R22" s="68" t="str">
        <f t="shared" ref="R22:R26" ca="1" si="8">IF(Q22&lt;&gt;0,S21+Q22,"")</f>
        <v/>
      </c>
      <c r="S22" s="87">
        <f t="shared" ca="1" si="5"/>
        <v>0</v>
      </c>
    </row>
    <row r="23" spans="1:19" x14ac:dyDescent="0.2">
      <c r="A23" s="96">
        <f t="shared" ca="1" si="6"/>
        <v>45396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>
        <f t="shared" ca="1" si="1"/>
        <v>0</v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frei</v>
      </c>
      <c r="N23" s="147"/>
      <c r="O23" s="82">
        <f t="shared" si="2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7"/>
        <v>0</v>
      </c>
      <c r="R23" s="68" t="str">
        <f t="shared" ca="1" si="8"/>
        <v/>
      </c>
      <c r="S23" s="87">
        <f t="shared" ca="1" si="5"/>
        <v>0</v>
      </c>
    </row>
    <row r="24" spans="1:19" x14ac:dyDescent="0.2">
      <c r="A24" s="96">
        <f t="shared" ca="1" si="6"/>
        <v>45397</v>
      </c>
      <c r="B24" s="75"/>
      <c r="C24" s="72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Mo</v>
      </c>
      <c r="N24" s="147"/>
      <c r="O24" s="82">
        <f t="shared" si="2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ca="1">O24-P24</f>
        <v>0</v>
      </c>
      <c r="R24" s="68" t="str">
        <f ca="1">IF(Q24&lt;&gt;0,S23+Q24,"")</f>
        <v/>
      </c>
      <c r="S24" s="87">
        <f t="shared" ca="1" si="5"/>
        <v>0</v>
      </c>
    </row>
    <row r="25" spans="1:19" x14ac:dyDescent="0.2">
      <c r="A25" s="96">
        <f t="shared" ca="1" si="6"/>
        <v>45398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Di</v>
      </c>
      <c r="N25" s="147"/>
      <c r="O25" s="82">
        <f t="shared" si="2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ca="1">O25-P25</f>
        <v>0</v>
      </c>
      <c r="R25" s="68" t="str">
        <f ca="1">IF(Q25&lt;&gt;0,S24+Q25,"")</f>
        <v/>
      </c>
      <c r="S25" s="87">
        <f t="shared" ca="1" si="5"/>
        <v>0</v>
      </c>
    </row>
    <row r="26" spans="1:19" x14ac:dyDescent="0.2">
      <c r="A26" s="96">
        <f t="shared" ca="1" si="6"/>
        <v>45399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Mi</v>
      </c>
      <c r="N26" s="147"/>
      <c r="O26" s="82">
        <f t="shared" si="2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7"/>
        <v>0</v>
      </c>
      <c r="R26" s="68" t="str">
        <f t="shared" ca="1" si="8"/>
        <v/>
      </c>
      <c r="S26" s="87">
        <f t="shared" ca="1" si="5"/>
        <v>0</v>
      </c>
    </row>
    <row r="27" spans="1:19" x14ac:dyDescent="0.2">
      <c r="A27" s="96">
        <f t="shared" ca="1" si="6"/>
        <v>45400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Do</v>
      </c>
      <c r="N27" s="147"/>
      <c r="O27" s="82">
        <f t="shared" si="2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ref="Q27:Q39" ca="1" si="9">O27-P27</f>
        <v>0</v>
      </c>
      <c r="R27" s="68" t="str">
        <f t="shared" ref="R27:R39" ca="1" si="10">IF(Q27&lt;&gt;0,S26+Q27,"")</f>
        <v/>
      </c>
      <c r="S27" s="87">
        <f t="shared" ca="1" si="5"/>
        <v>0</v>
      </c>
    </row>
    <row r="28" spans="1:19" x14ac:dyDescent="0.2">
      <c r="A28" s="96">
        <f t="shared" ca="1" si="6"/>
        <v>45401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Fr</v>
      </c>
      <c r="N28" s="147"/>
      <c r="O28" s="82">
        <f t="shared" si="2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9"/>
        <v>0</v>
      </c>
      <c r="R28" s="68" t="str">
        <f t="shared" ca="1" si="10"/>
        <v/>
      </c>
      <c r="S28" s="87">
        <f t="shared" ca="1" si="5"/>
        <v>0</v>
      </c>
    </row>
    <row r="29" spans="1:19" x14ac:dyDescent="0.2">
      <c r="A29" s="96">
        <f t="shared" ca="1" si="6"/>
        <v>45402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20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frei</v>
      </c>
      <c r="N29" s="147"/>
      <c r="O29" s="82">
        <f t="shared" si="2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9"/>
        <v>0</v>
      </c>
      <c r="R29" s="68" t="str">
        <f t="shared" ca="1" si="10"/>
        <v/>
      </c>
      <c r="S29" s="87">
        <f t="shared" ca="1" si="5"/>
        <v>0</v>
      </c>
    </row>
    <row r="30" spans="1:19" x14ac:dyDescent="0.2">
      <c r="A30" s="96">
        <f t="shared" ca="1" si="6"/>
        <v>45403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>
        <f t="shared" ca="1" si="1"/>
        <v>0</v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frei</v>
      </c>
      <c r="N30" s="147"/>
      <c r="O30" s="82">
        <f t="shared" si="2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9"/>
        <v>0</v>
      </c>
      <c r="R30" s="68" t="str">
        <f t="shared" ca="1" si="10"/>
        <v/>
      </c>
      <c r="S30" s="87">
        <f t="shared" ca="1" si="5"/>
        <v>0</v>
      </c>
    </row>
    <row r="31" spans="1:19" x14ac:dyDescent="0.2">
      <c r="A31" s="96">
        <f t="shared" ca="1" si="6"/>
        <v>45404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Mo</v>
      </c>
      <c r="N31" s="147"/>
      <c r="O31" s="82">
        <f t="shared" si="2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9"/>
        <v>0</v>
      </c>
      <c r="R31" s="68" t="str">
        <f t="shared" ca="1" si="10"/>
        <v/>
      </c>
      <c r="S31" s="87">
        <f t="shared" ca="1" si="5"/>
        <v>0</v>
      </c>
    </row>
    <row r="32" spans="1:19" x14ac:dyDescent="0.2">
      <c r="A32" s="96">
        <f t="shared" ca="1" si="6"/>
        <v>45405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Di</v>
      </c>
      <c r="N32" s="147"/>
      <c r="O32" s="82">
        <f t="shared" si="2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9"/>
        <v>0</v>
      </c>
      <c r="R32" s="68" t="str">
        <f t="shared" ca="1" si="10"/>
        <v/>
      </c>
      <c r="S32" s="87">
        <f t="shared" ca="1" si="5"/>
        <v>0</v>
      </c>
    </row>
    <row r="33" spans="1:19" x14ac:dyDescent="0.2">
      <c r="A33" s="96">
        <f t="shared" ca="1" si="6"/>
        <v>45406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Mi</v>
      </c>
      <c r="N33" s="147"/>
      <c r="O33" s="82">
        <f t="shared" si="2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9"/>
        <v>0</v>
      </c>
      <c r="R33" s="68" t="str">
        <f t="shared" ca="1" si="10"/>
        <v/>
      </c>
      <c r="S33" s="87">
        <f t="shared" ca="1" si="5"/>
        <v>0</v>
      </c>
    </row>
    <row r="34" spans="1:19" x14ac:dyDescent="0.2">
      <c r="A34" s="96">
        <f t="shared" ca="1" si="6"/>
        <v>45407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Do</v>
      </c>
      <c r="N34" s="147"/>
      <c r="O34" s="82">
        <f t="shared" si="2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9"/>
        <v>0</v>
      </c>
      <c r="R34" s="68" t="str">
        <f t="shared" ca="1" si="10"/>
        <v/>
      </c>
      <c r="S34" s="87">
        <f t="shared" ca="1" si="5"/>
        <v>0</v>
      </c>
    </row>
    <row r="35" spans="1:19" x14ac:dyDescent="0.2">
      <c r="A35" s="96">
        <f t="shared" ca="1" si="6"/>
        <v>45408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Fr</v>
      </c>
      <c r="N35" s="147"/>
      <c r="O35" s="82">
        <f t="shared" si="2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9"/>
        <v>0</v>
      </c>
      <c r="R35" s="68" t="str">
        <f t="shared" ca="1" si="10"/>
        <v/>
      </c>
      <c r="S35" s="87">
        <f t="shared" ca="1" si="5"/>
        <v>0</v>
      </c>
    </row>
    <row r="36" spans="1:19" x14ac:dyDescent="0.2">
      <c r="A36" s="96">
        <f t="shared" ca="1" si="6"/>
        <v>45409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frei</v>
      </c>
      <c r="N36" s="147"/>
      <c r="O36" s="82">
        <f t="shared" si="2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9"/>
        <v>0</v>
      </c>
      <c r="R36" s="68" t="str">
        <f t="shared" ca="1" si="10"/>
        <v/>
      </c>
      <c r="S36" s="87">
        <f t="shared" ca="1" si="5"/>
        <v>0</v>
      </c>
    </row>
    <row r="37" spans="1:19" x14ac:dyDescent="0.2">
      <c r="A37" s="96">
        <f t="shared" ca="1" si="6"/>
        <v>45410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>
        <f t="shared" ca="1" si="1"/>
        <v>0</v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frei</v>
      </c>
      <c r="N37" s="147"/>
      <c r="O37" s="82">
        <f t="shared" si="2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9"/>
        <v>0</v>
      </c>
      <c r="R37" s="68" t="str">
        <f t="shared" ca="1" si="10"/>
        <v/>
      </c>
      <c r="S37" s="87">
        <f t="shared" ca="1" si="5"/>
        <v>0</v>
      </c>
    </row>
    <row r="38" spans="1:19" x14ac:dyDescent="0.2">
      <c r="A38" s="96">
        <f t="shared" ca="1" si="6"/>
        <v>45411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Mo</v>
      </c>
      <c r="N38" s="147"/>
      <c r="O38" s="82">
        <f t="shared" si="2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9"/>
        <v>0</v>
      </c>
      <c r="R38" s="68" t="str">
        <f t="shared" ca="1" si="10"/>
        <v/>
      </c>
      <c r="S38" s="87">
        <f t="shared" ca="1" si="5"/>
        <v>0</v>
      </c>
    </row>
    <row r="39" spans="1:19" x14ac:dyDescent="0.2">
      <c r="A39" s="96">
        <f t="shared" ca="1" si="6"/>
        <v>45412</v>
      </c>
      <c r="B39" s="75"/>
      <c r="C39" s="76"/>
      <c r="D39" s="76"/>
      <c r="E39" s="76"/>
      <c r="F39" s="75"/>
      <c r="G39" s="76"/>
      <c r="H39" s="72"/>
      <c r="I39" s="71">
        <f t="shared" si="0"/>
        <v>0</v>
      </c>
      <c r="J39" s="72"/>
      <c r="K39" s="77"/>
      <c r="L39" s="95" t="str">
        <f t="shared" ca="1" si="1"/>
        <v/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Di</v>
      </c>
      <c r="N39" s="147"/>
      <c r="O39" s="82">
        <f t="shared" si="2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9"/>
        <v>0</v>
      </c>
      <c r="R39" s="68" t="str">
        <f t="shared" ca="1" si="10"/>
        <v/>
      </c>
      <c r="S39" s="87">
        <f t="shared" ca="1" si="5"/>
        <v>0</v>
      </c>
    </row>
    <row r="40" spans="1:19" x14ac:dyDescent="0.2">
      <c r="A40" s="96" t="str">
        <f t="shared" ca="1" si="6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/>
      <c r="P40" s="82">
        <f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/>
      <c r="R40" s="68"/>
      <c r="S40" s="87"/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IF(OR(I43&gt;0,G5&gt;0,H5&gt;0),IF(AND(Mär!I43=0,Mär!G5=0,Mär!H5=0),Start!B40,Mär!L47),0)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0.2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9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algorithmName="SHA-512" hashValue="3ge6Yugj593QA6nKofNzVUgClCgzAknJ5SHi4s7wnfz59PfWEKPhauiIxwgbByN8ntWI9UejJ65+chp1pYmbmA==" saltValue="wrJ5Fl7E0NV3j1SAkMSAXg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L47">
    <cfRule type="cellIs" dxfId="581" priority="199" operator="greaterThan">
      <formula>80</formula>
    </cfRule>
  </conditionalFormatting>
  <conditionalFormatting sqref="L41 L10:L39">
    <cfRule type="expression" dxfId="580" priority="86">
      <formula>WEEKDAY($A10,2)&gt;5</formula>
    </cfRule>
  </conditionalFormatting>
  <conditionalFormatting sqref="L41 L10:L39">
    <cfRule type="cellIs" dxfId="579" priority="85" operator="greaterThan">
      <formula>2.08333333333333</formula>
    </cfRule>
  </conditionalFormatting>
  <conditionalFormatting sqref="L41 L10:L39">
    <cfRule type="expression" dxfId="578" priority="84">
      <formula>L10=""</formula>
    </cfRule>
  </conditionalFormatting>
  <conditionalFormatting sqref="A11:A41">
    <cfRule type="expression" dxfId="577" priority="83">
      <formula>WEEKDAY($A11,2)&gt;5</formula>
    </cfRule>
  </conditionalFormatting>
  <conditionalFormatting sqref="I10:I39 I41">
    <cfRule type="expression" dxfId="576" priority="78">
      <formula>(G10-F10)&gt;6/24</formula>
    </cfRule>
    <cfRule type="expression" dxfId="575" priority="79">
      <formula>(E10-D10)&gt;6/24</formula>
    </cfRule>
    <cfRule type="expression" dxfId="574" priority="80">
      <formula>(C10-B10)&gt;6/24</formula>
    </cfRule>
    <cfRule type="expression" dxfId="573" priority="82">
      <formula>WEEKDAY($A10,2)&gt;5</formula>
    </cfRule>
  </conditionalFormatting>
  <conditionalFormatting sqref="I10:I39 I41">
    <cfRule type="cellIs" dxfId="572" priority="81" operator="greaterThan">
      <formula>0.416666666666667</formula>
    </cfRule>
  </conditionalFormatting>
  <conditionalFormatting sqref="B11:H12 D10:H10 B16:H19 F13:H15 B25:H26 F20:H23 D24:H24 B32:H33 F27:H30 D31:H31 B39:H39 F34:H37 D38:H38 B41:H41">
    <cfRule type="expression" dxfId="571" priority="77">
      <formula>WEEKDAY($A10,2)&gt;5</formula>
    </cfRule>
  </conditionalFormatting>
  <conditionalFormatting sqref="B10:C10">
    <cfRule type="expression" dxfId="570" priority="76">
      <formula>WEEKDAY($A10,2)&gt;5</formula>
    </cfRule>
  </conditionalFormatting>
  <conditionalFormatting sqref="B13:E13">
    <cfRule type="expression" dxfId="569" priority="75">
      <formula>WEEKDAY($A13,2)&gt;5</formula>
    </cfRule>
  </conditionalFormatting>
  <conditionalFormatting sqref="C14:E14">
    <cfRule type="expression" dxfId="568" priority="74">
      <formula>WEEKDAY($A14,2)&gt;5</formula>
    </cfRule>
  </conditionalFormatting>
  <conditionalFormatting sqref="B14">
    <cfRule type="expression" dxfId="567" priority="73">
      <formula>WEEKDAY($A14,2)&gt;5</formula>
    </cfRule>
  </conditionalFormatting>
  <conditionalFormatting sqref="C15:E15">
    <cfRule type="expression" dxfId="566" priority="72">
      <formula>WEEKDAY($A15,2)&gt;5</formula>
    </cfRule>
  </conditionalFormatting>
  <conditionalFormatting sqref="B15">
    <cfRule type="expression" dxfId="565" priority="71">
      <formula>WEEKDAY($A15,2)&gt;5</formula>
    </cfRule>
  </conditionalFormatting>
  <conditionalFormatting sqref="B20:E20">
    <cfRule type="expression" dxfId="564" priority="70">
      <formula>WEEKDAY($A20,2)&gt;5</formula>
    </cfRule>
  </conditionalFormatting>
  <conditionalFormatting sqref="B21:E21">
    <cfRule type="expression" dxfId="563" priority="69">
      <formula>WEEKDAY($A21,2)&gt;5</formula>
    </cfRule>
  </conditionalFormatting>
  <conditionalFormatting sqref="C22:E22">
    <cfRule type="expression" dxfId="562" priority="68">
      <formula>WEEKDAY($A22,2)&gt;5</formula>
    </cfRule>
  </conditionalFormatting>
  <conditionalFormatting sqref="B22">
    <cfRule type="expression" dxfId="561" priority="67">
      <formula>WEEKDAY($A22,2)&gt;5</formula>
    </cfRule>
  </conditionalFormatting>
  <conditionalFormatting sqref="C23:E23">
    <cfRule type="expression" dxfId="560" priority="66">
      <formula>WEEKDAY($A23,2)&gt;5</formula>
    </cfRule>
  </conditionalFormatting>
  <conditionalFormatting sqref="B23">
    <cfRule type="expression" dxfId="559" priority="65">
      <formula>WEEKDAY($A23,2)&gt;5</formula>
    </cfRule>
  </conditionalFormatting>
  <conditionalFormatting sqref="B24:C24">
    <cfRule type="expression" dxfId="558" priority="64">
      <formula>WEEKDAY($A24,2)&gt;5</formula>
    </cfRule>
  </conditionalFormatting>
  <conditionalFormatting sqref="B27:E27">
    <cfRule type="expression" dxfId="557" priority="63">
      <formula>WEEKDAY($A27,2)&gt;5</formula>
    </cfRule>
  </conditionalFormatting>
  <conditionalFormatting sqref="C28:E28">
    <cfRule type="expression" dxfId="556" priority="62">
      <formula>WEEKDAY($A28,2)&gt;5</formula>
    </cfRule>
  </conditionalFormatting>
  <conditionalFormatting sqref="B28">
    <cfRule type="expression" dxfId="555" priority="61">
      <formula>WEEKDAY($A28,2)&gt;5</formula>
    </cfRule>
  </conditionalFormatting>
  <conditionalFormatting sqref="C29:E29">
    <cfRule type="expression" dxfId="554" priority="60">
      <formula>WEEKDAY($A29,2)&gt;5</formula>
    </cfRule>
  </conditionalFormatting>
  <conditionalFormatting sqref="B29">
    <cfRule type="expression" dxfId="553" priority="59">
      <formula>WEEKDAY($A29,2)&gt;5</formula>
    </cfRule>
  </conditionalFormatting>
  <conditionalFormatting sqref="C30:E30">
    <cfRule type="expression" dxfId="552" priority="58">
      <formula>WEEKDAY($A30,2)&gt;5</formula>
    </cfRule>
  </conditionalFormatting>
  <conditionalFormatting sqref="B30">
    <cfRule type="expression" dxfId="551" priority="57">
      <formula>WEEKDAY($A30,2)&gt;5</formula>
    </cfRule>
  </conditionalFormatting>
  <conditionalFormatting sqref="B31:C31">
    <cfRule type="expression" dxfId="550" priority="56">
      <formula>WEEKDAY($A31,2)&gt;5</formula>
    </cfRule>
  </conditionalFormatting>
  <conditionalFormatting sqref="B34:E34">
    <cfRule type="expression" dxfId="549" priority="55">
      <formula>WEEKDAY($A34,2)&gt;5</formula>
    </cfRule>
  </conditionalFormatting>
  <conditionalFormatting sqref="C35:E35">
    <cfRule type="expression" dxfId="548" priority="54">
      <formula>WEEKDAY($A35,2)&gt;5</formula>
    </cfRule>
  </conditionalFormatting>
  <conditionalFormatting sqref="B35">
    <cfRule type="expression" dxfId="547" priority="53">
      <formula>WEEKDAY($A35,2)&gt;5</formula>
    </cfRule>
  </conditionalFormatting>
  <conditionalFormatting sqref="C36:E36">
    <cfRule type="expression" dxfId="546" priority="52">
      <formula>WEEKDAY($A36,2)&gt;5</formula>
    </cfRule>
  </conditionalFormatting>
  <conditionalFormatting sqref="B36">
    <cfRule type="expression" dxfId="545" priority="51">
      <formula>WEEKDAY($A36,2)&gt;5</formula>
    </cfRule>
  </conditionalFormatting>
  <conditionalFormatting sqref="C37:E37">
    <cfRule type="expression" dxfId="544" priority="50">
      <formula>WEEKDAY($A37,2)&gt;5</formula>
    </cfRule>
  </conditionalFormatting>
  <conditionalFormatting sqref="B37">
    <cfRule type="expression" dxfId="543" priority="49">
      <formula>WEEKDAY($A37,2)&gt;5</formula>
    </cfRule>
  </conditionalFormatting>
  <conditionalFormatting sqref="C38">
    <cfRule type="expression" dxfId="542" priority="48">
      <formula>WEEKDAY($A38,2)&gt;5</formula>
    </cfRule>
  </conditionalFormatting>
  <conditionalFormatting sqref="B38">
    <cfRule type="expression" dxfId="541" priority="47">
      <formula>WEEKDAY($A38,2)&gt;5</formula>
    </cfRule>
  </conditionalFormatting>
  <conditionalFormatting sqref="J14:J15 J20:K21 J35:K36 J28:K30 K16:K19 K31:K34 K37:K39 J22 J27 K41">
    <cfRule type="expression" dxfId="540" priority="46">
      <formula>WEEKDAY($A14,2)&gt;5</formula>
    </cfRule>
  </conditionalFormatting>
  <conditionalFormatting sqref="J10:J13">
    <cfRule type="expression" dxfId="539" priority="45">
      <formula>WEEKDAY($A10,2)&gt;5</formula>
    </cfRule>
  </conditionalFormatting>
  <conditionalFormatting sqref="J16:J19">
    <cfRule type="expression" dxfId="538" priority="44">
      <formula>WEEKDAY($A16,2)&gt;5</formula>
    </cfRule>
  </conditionalFormatting>
  <conditionalFormatting sqref="J23:J26">
    <cfRule type="expression" dxfId="537" priority="43">
      <formula>WEEKDAY($A23,2)&gt;5</formula>
    </cfRule>
  </conditionalFormatting>
  <conditionalFormatting sqref="J31:J34">
    <cfRule type="expression" dxfId="536" priority="42">
      <formula>WEEKDAY($A31,2)&gt;5</formula>
    </cfRule>
  </conditionalFormatting>
  <conditionalFormatting sqref="J37:J39 J41">
    <cfRule type="expression" dxfId="535" priority="41">
      <formula>WEEKDAY($A37,2)&gt;5</formula>
    </cfRule>
  </conditionalFormatting>
  <conditionalFormatting sqref="K15">
    <cfRule type="expression" dxfId="534" priority="40">
      <formula>WEEKDAY($A15,2)&gt;5</formula>
    </cfRule>
  </conditionalFormatting>
  <conditionalFormatting sqref="A10">
    <cfRule type="expression" dxfId="533" priority="39">
      <formula>WEEKDAY($A10,2)&gt;5</formula>
    </cfRule>
  </conditionalFormatting>
  <conditionalFormatting sqref="K22">
    <cfRule type="expression" dxfId="532" priority="38">
      <formula>WEEKDAY($A22,2)&gt;5</formula>
    </cfRule>
  </conditionalFormatting>
  <conditionalFormatting sqref="A15:K22 A10:J14 A28:K39 A23:J27 A40 A41:K41">
    <cfRule type="expression" dxfId="531" priority="37">
      <formula>$M10="frei"</formula>
    </cfRule>
  </conditionalFormatting>
  <conditionalFormatting sqref="K10:K14">
    <cfRule type="expression" dxfId="530" priority="36">
      <formula>WEEKDAY($A10,2)&gt;5</formula>
    </cfRule>
  </conditionalFormatting>
  <conditionalFormatting sqref="K10:K14">
    <cfRule type="expression" dxfId="529" priority="35">
      <formula>$M10="frei"</formula>
    </cfRule>
  </conditionalFormatting>
  <conditionalFormatting sqref="M10:M41">
    <cfRule type="expression" dxfId="528" priority="33">
      <formula>M10="FD"</formula>
    </cfRule>
    <cfRule type="expression" dxfId="527" priority="34">
      <formula>M10="frei"</formula>
    </cfRule>
  </conditionalFormatting>
  <conditionalFormatting sqref="K23:K27">
    <cfRule type="expression" dxfId="526" priority="32">
      <formula>WEEKDAY($A23,2)&gt;5</formula>
    </cfRule>
  </conditionalFormatting>
  <conditionalFormatting sqref="K23:K27">
    <cfRule type="expression" dxfId="525" priority="31">
      <formula>$M23="frei"</formula>
    </cfRule>
  </conditionalFormatting>
  <conditionalFormatting sqref="A42">
    <cfRule type="expression" dxfId="524" priority="29">
      <formula>$M42="frei"</formula>
    </cfRule>
  </conditionalFormatting>
  <conditionalFormatting sqref="I40">
    <cfRule type="expression" dxfId="523" priority="21">
      <formula>(G40-F40)&gt;6/24</formula>
    </cfRule>
    <cfRule type="expression" dxfId="522" priority="22">
      <formula>(E40-D40)&gt;6/24</formula>
    </cfRule>
    <cfRule type="expression" dxfId="521" priority="23">
      <formula>(C40-B40)&gt;6/24</formula>
    </cfRule>
    <cfRule type="expression" dxfId="520" priority="25">
      <formula>WEEKDAY($A40,2)&gt;5</formula>
    </cfRule>
  </conditionalFormatting>
  <conditionalFormatting sqref="I40">
    <cfRule type="cellIs" dxfId="519" priority="24" operator="greaterThan">
      <formula>0.416666666666667</formula>
    </cfRule>
  </conditionalFormatting>
  <conditionalFormatting sqref="B40:F40 H40">
    <cfRule type="expression" dxfId="518" priority="20">
      <formula>WEEKDAY($A40,2)&gt;5</formula>
    </cfRule>
  </conditionalFormatting>
  <conditionalFormatting sqref="K40">
    <cfRule type="expression" dxfId="517" priority="19">
      <formula>WEEKDAY($A40,2)&gt;5</formula>
    </cfRule>
  </conditionalFormatting>
  <conditionalFormatting sqref="J40">
    <cfRule type="expression" dxfId="516" priority="18">
      <formula>WEEKDAY($A40,2)&gt;5</formula>
    </cfRule>
  </conditionalFormatting>
  <conditionalFormatting sqref="B40:F40 H40:K40">
    <cfRule type="expression" dxfId="515" priority="17">
      <formula>$M40="frei"</formula>
    </cfRule>
  </conditionalFormatting>
  <conditionalFormatting sqref="G40">
    <cfRule type="expression" dxfId="514" priority="16">
      <formula>WEEKDAY($A40,2)&gt;5</formula>
    </cfRule>
  </conditionalFormatting>
  <conditionalFormatting sqref="G40">
    <cfRule type="expression" dxfId="513" priority="15">
      <formula>$M40="frei"</formula>
    </cfRule>
  </conditionalFormatting>
  <conditionalFormatting sqref="L40">
    <cfRule type="expression" dxfId="512" priority="14">
      <formula>WEEKDAY($A40,2)&gt;5</formula>
    </cfRule>
  </conditionalFormatting>
  <conditionalFormatting sqref="L40">
    <cfRule type="cellIs" dxfId="511" priority="13" operator="greaterThan">
      <formula>2.08333333333333</formula>
    </cfRule>
  </conditionalFormatting>
  <conditionalFormatting sqref="L40">
    <cfRule type="expression" dxfId="510" priority="12">
      <formula>L40=""</formula>
    </cfRule>
  </conditionalFormatting>
  <conditionalFormatting sqref="J43 L43">
    <cfRule type="expression" dxfId="509" priority="9">
      <formula>WEEKDAY($A43,2)&gt;5</formula>
    </cfRule>
  </conditionalFormatting>
  <conditionalFormatting sqref="J43 L43">
    <cfRule type="expression" dxfId="508" priority="8">
      <formula>$M43="frei"</formula>
    </cfRule>
  </conditionalFormatting>
  <conditionalFormatting sqref="J42 L42">
    <cfRule type="expression" dxfId="507" priority="7">
      <formula>WEEKDAY($A42,2)&gt;5</formula>
    </cfRule>
  </conditionalFormatting>
  <conditionalFormatting sqref="J42 L42">
    <cfRule type="expression" dxfId="506" priority="6">
      <formula>$M42="frei"</formula>
    </cfRule>
  </conditionalFormatting>
  <conditionalFormatting sqref="K42">
    <cfRule type="expression" dxfId="505" priority="5">
      <formula>WEEKDAY($A42,2)&gt;5</formula>
    </cfRule>
  </conditionalFormatting>
  <conditionalFormatting sqref="K42">
    <cfRule type="expression" dxfId="504" priority="4">
      <formula>$M42="frei"</formula>
    </cfRule>
  </conditionalFormatting>
  <conditionalFormatting sqref="K43">
    <cfRule type="expression" dxfId="503" priority="3">
      <formula>WEEKDAY($A43,2)&gt;5</formula>
    </cfRule>
  </conditionalFormatting>
  <conditionalFormatting sqref="K43">
    <cfRule type="expression" dxfId="502" priority="2">
      <formula>$M43="frei"</formula>
    </cfRule>
  </conditionalFormatting>
  <conditionalFormatting sqref="I46">
    <cfRule type="expression" dxfId="501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opLeftCell="A14" zoomScaleNormal="100" workbookViewId="0">
      <selection activeCell="K30" sqref="K3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85546875" style="78" customWidth="1"/>
    <col min="10" max="10" width="5.7109375" style="78" customWidth="1"/>
    <col min="11" max="11" width="19.42578125" style="78" bestFit="1" customWidth="1"/>
    <col min="12" max="12" width="7.28515625" style="78" customWidth="1"/>
    <col min="13" max="13" width="11.42578125" style="78" customWidth="1"/>
    <col min="14" max="14" width="4.85546875" style="78" customWidth="1"/>
    <col min="15" max="15" width="10" style="78" customWidth="1"/>
    <col min="16" max="16" width="10.7109375" style="78" bestFit="1" customWidth="1"/>
    <col min="17" max="17" width="9.28515625" style="78" bestFit="1" customWidth="1"/>
    <col min="18" max="18" width="8.1406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45413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+Apr!L7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19</v>
      </c>
      <c r="E5" s="74">
        <f>Start!B29</f>
        <v>0.33333333333333331</v>
      </c>
      <c r="F5" s="74">
        <f ca="1">+D5*E5</f>
        <v>6.333333333333333</v>
      </c>
      <c r="G5" s="74">
        <f>+L6*E5</f>
        <v>0</v>
      </c>
      <c r="H5" s="74">
        <f>SUM(J10:J40)</f>
        <v>0</v>
      </c>
      <c r="I5" s="74">
        <f ca="1">+F5-G5-H5</f>
        <v>6.333333333333333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19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45413</v>
      </c>
      <c r="B10" s="75"/>
      <c r="C10" s="75"/>
      <c r="D10" s="75"/>
      <c r="E10" s="75"/>
      <c r="F10" s="75"/>
      <c r="G10" s="75"/>
      <c r="H10" s="72"/>
      <c r="I10" s="71">
        <f t="shared" ref="I10:I40" si="0">(C10-B10)+(E10-D10)+(G10-F10)-H10</f>
        <v>0</v>
      </c>
      <c r="J10" s="72"/>
      <c r="K10" s="77" t="s">
        <v>38</v>
      </c>
      <c r="L10" s="95" t="str">
        <f t="shared" ref="L10:L40" ca="1" si="1">IF(TEXT(A10,"TTT")="So",SUM(I4:I10),"")</f>
        <v/>
      </c>
      <c r="M10" s="159" t="str">
        <f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40" si="2">(I10+J10)*24</f>
        <v>0</v>
      </c>
      <c r="P10" s="82">
        <f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40" si="3">O10-P10</f>
        <v>0</v>
      </c>
      <c r="R10" s="68" t="str">
        <f>IF(Q10&lt;&gt;0,S9+Q10,"")</f>
        <v/>
      </c>
      <c r="S10" s="87">
        <f t="shared" ref="S10:S40" si="4">S9+Q10</f>
        <v>0</v>
      </c>
    </row>
    <row r="11" spans="1:21" x14ac:dyDescent="0.2">
      <c r="A11" s="96">
        <f ca="1">IF(A10="","",IF(MONTH(A10+1)=MONTH($A$10),A10+1,""))</f>
        <v>45414</v>
      </c>
      <c r="B11" s="75"/>
      <c r="C11" s="75"/>
      <c r="D11" s="75"/>
      <c r="E11" s="75"/>
      <c r="F11" s="75"/>
      <c r="G11" s="75"/>
      <c r="H11" s="75"/>
      <c r="I11" s="71">
        <f t="shared" si="0"/>
        <v>0</v>
      </c>
      <c r="J11" s="72"/>
      <c r="K11" s="77"/>
      <c r="L11" s="95" t="str">
        <f t="shared" ca="1" si="1"/>
        <v/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Do</v>
      </c>
      <c r="N11" s="147"/>
      <c r="O11" s="82">
        <f t="shared" si="2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40" ca="1" si="5">IF(Q11&lt;&gt;0,S10+Q11,"")</f>
        <v/>
      </c>
      <c r="S11" s="87">
        <f t="shared" ca="1" si="4"/>
        <v>0</v>
      </c>
    </row>
    <row r="12" spans="1:21" x14ac:dyDescent="0.2">
      <c r="A12" s="96">
        <f t="shared" ref="A12:A40" ca="1" si="6">IF(A11="","",IF(MONTH(A11+1)=MONTH($A$10),A11+1,""))</f>
        <v>45415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ca="1" si="1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Fr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</row>
    <row r="13" spans="1:21" x14ac:dyDescent="0.2">
      <c r="A13" s="96">
        <f t="shared" ca="1" si="6"/>
        <v>45416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frei</v>
      </c>
      <c r="N13" s="147"/>
      <c r="O13" s="82">
        <f t="shared" si="2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</row>
    <row r="14" spans="1:21" x14ac:dyDescent="0.2">
      <c r="A14" s="96">
        <f t="shared" ca="1" si="6"/>
        <v>45417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>
        <f t="shared" ca="1" si="1"/>
        <v>0</v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frei</v>
      </c>
      <c r="N14" s="147"/>
      <c r="O14" s="82">
        <f t="shared" si="2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</row>
    <row r="15" spans="1:21" x14ac:dyDescent="0.2">
      <c r="A15" s="96">
        <f t="shared" ca="1" si="6"/>
        <v>45418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Mo</v>
      </c>
      <c r="N15" s="147"/>
      <c r="O15" s="82">
        <f t="shared" si="2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</row>
    <row r="16" spans="1:21" x14ac:dyDescent="0.2">
      <c r="A16" s="96">
        <f t="shared" ca="1" si="6"/>
        <v>45419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Di</v>
      </c>
      <c r="N16" s="147"/>
      <c r="O16" s="82">
        <f t="shared" si="2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</row>
    <row r="17" spans="1:19" x14ac:dyDescent="0.2">
      <c r="A17" s="96">
        <f t="shared" ca="1" si="6"/>
        <v>45420</v>
      </c>
      <c r="B17" s="75"/>
      <c r="C17" s="72"/>
      <c r="D17" s="72"/>
      <c r="E17" s="72"/>
      <c r="F17" s="75"/>
      <c r="G17" s="72"/>
      <c r="H17" s="72"/>
      <c r="I17" s="71">
        <f t="shared" si="0"/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Mi</v>
      </c>
      <c r="N17" s="147"/>
      <c r="O17" s="82">
        <f t="shared" si="2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</row>
    <row r="18" spans="1:19" x14ac:dyDescent="0.2">
      <c r="A18" s="96">
        <f t="shared" ca="1" si="6"/>
        <v>45421</v>
      </c>
      <c r="B18" s="75"/>
      <c r="C18" s="72"/>
      <c r="D18" s="72"/>
      <c r="E18" s="72"/>
      <c r="F18" s="75"/>
      <c r="G18" s="72"/>
      <c r="H18" s="72"/>
      <c r="I18" s="71">
        <f t="shared" si="0"/>
        <v>0</v>
      </c>
      <c r="J18" s="72"/>
      <c r="K18" s="77" t="s">
        <v>23</v>
      </c>
      <c r="L18" s="95" t="str">
        <f t="shared" ca="1" si="1"/>
        <v/>
      </c>
      <c r="M18" s="159" t="str">
        <f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frei</v>
      </c>
      <c r="N18" s="147"/>
      <c r="O18" s="82">
        <f t="shared" si="2"/>
        <v>0</v>
      </c>
      <c r="P18" s="82">
        <f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>O18-P18</f>
        <v>0</v>
      </c>
      <c r="R18" s="68" t="str">
        <f t="shared" si="5"/>
        <v/>
      </c>
      <c r="S18" s="87">
        <f t="shared" ca="1" si="4"/>
        <v>0</v>
      </c>
    </row>
    <row r="19" spans="1:19" x14ac:dyDescent="0.2">
      <c r="A19" s="96">
        <f t="shared" ca="1" si="6"/>
        <v>45422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Fr</v>
      </c>
      <c r="N19" s="147"/>
      <c r="O19" s="82">
        <f t="shared" si="2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</row>
    <row r="20" spans="1:19" x14ac:dyDescent="0.2">
      <c r="A20" s="96">
        <f t="shared" ca="1" si="6"/>
        <v>45423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frei</v>
      </c>
      <c r="N20" s="147"/>
      <c r="O20" s="82">
        <f t="shared" si="2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</row>
    <row r="21" spans="1:19" x14ac:dyDescent="0.2">
      <c r="A21" s="96">
        <f t="shared" ca="1" si="6"/>
        <v>45424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>
        <f t="shared" ca="1" si="1"/>
        <v>0</v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frei</v>
      </c>
      <c r="N21" s="147"/>
      <c r="O21" s="82">
        <f t="shared" si="2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</row>
    <row r="22" spans="1:19" x14ac:dyDescent="0.2">
      <c r="A22" s="96">
        <f t="shared" ca="1" si="6"/>
        <v>45425</v>
      </c>
      <c r="B22" s="4"/>
      <c r="C22" s="5"/>
      <c r="D22" s="5"/>
      <c r="E22" s="5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Mo</v>
      </c>
      <c r="N22" s="147"/>
      <c r="O22" s="82">
        <f t="shared" si="2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</row>
    <row r="23" spans="1:19" x14ac:dyDescent="0.2">
      <c r="A23" s="96">
        <f t="shared" ca="1" si="6"/>
        <v>45426</v>
      </c>
      <c r="B23" s="4"/>
      <c r="C23" s="5"/>
      <c r="D23" s="5"/>
      <c r="E23" s="5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Di</v>
      </c>
      <c r="N23" s="147"/>
      <c r="O23" s="82">
        <f t="shared" si="2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</row>
    <row r="24" spans="1:19" x14ac:dyDescent="0.2">
      <c r="A24" s="96">
        <f t="shared" ca="1" si="6"/>
        <v>45427</v>
      </c>
      <c r="B24" s="4"/>
      <c r="C24" s="5"/>
      <c r="D24" s="5"/>
      <c r="E24" s="5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Mi</v>
      </c>
      <c r="N24" s="147"/>
      <c r="O24" s="82">
        <f t="shared" si="2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</row>
    <row r="25" spans="1:19" x14ac:dyDescent="0.2">
      <c r="A25" s="96">
        <f t="shared" ca="1" si="6"/>
        <v>45428</v>
      </c>
      <c r="B25" s="4"/>
      <c r="C25" s="5"/>
      <c r="D25" s="5"/>
      <c r="E25" s="5"/>
      <c r="F25" s="75"/>
      <c r="G25" s="72"/>
      <c r="H25" s="72"/>
      <c r="I25" s="71">
        <f t="shared" si="0"/>
        <v>0</v>
      </c>
      <c r="J25" s="72"/>
      <c r="K25" s="77"/>
      <c r="L25" s="95" t="str">
        <f t="shared" ca="1" si="1"/>
        <v/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Do</v>
      </c>
      <c r="N25" s="147"/>
      <c r="O25" s="82">
        <f t="shared" si="2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</row>
    <row r="26" spans="1:19" x14ac:dyDescent="0.2">
      <c r="A26" s="96">
        <f t="shared" ca="1" si="6"/>
        <v>45429</v>
      </c>
      <c r="B26" s="4"/>
      <c r="C26" s="5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Fr</v>
      </c>
      <c r="N26" s="147"/>
      <c r="O26" s="82">
        <f t="shared" si="2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</row>
    <row r="27" spans="1:19" x14ac:dyDescent="0.2">
      <c r="A27" s="96">
        <f t="shared" ca="1" si="6"/>
        <v>45430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frei</v>
      </c>
      <c r="N27" s="147"/>
      <c r="O27" s="82">
        <f t="shared" si="2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</row>
    <row r="28" spans="1:19" x14ac:dyDescent="0.2">
      <c r="A28" s="96">
        <f t="shared" ca="1" si="6"/>
        <v>45431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 t="s">
        <v>53</v>
      </c>
      <c r="L28" s="95">
        <f t="shared" ca="1" si="1"/>
        <v>0</v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frei</v>
      </c>
      <c r="N28" s="147"/>
      <c r="O28" s="82">
        <f t="shared" si="2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</row>
    <row r="29" spans="1:19" x14ac:dyDescent="0.2">
      <c r="A29" s="96">
        <f t="shared" ca="1" si="6"/>
        <v>45432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 t="s">
        <v>74</v>
      </c>
      <c r="L29" s="95" t="str">
        <f t="shared" ca="1" si="1"/>
        <v/>
      </c>
      <c r="M29" s="159" t="str">
        <f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frei</v>
      </c>
      <c r="N29" s="147"/>
      <c r="O29" s="82">
        <f t="shared" si="2"/>
        <v>0</v>
      </c>
      <c r="P29" s="82">
        <f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si="3"/>
        <v>0</v>
      </c>
      <c r="R29" s="68" t="str">
        <f t="shared" si="5"/>
        <v/>
      </c>
      <c r="S29" s="87">
        <f t="shared" ca="1" si="4"/>
        <v>0</v>
      </c>
    </row>
    <row r="30" spans="1:19" x14ac:dyDescent="0.2">
      <c r="A30" s="96">
        <f t="shared" ca="1" si="6"/>
        <v>45433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 t="s">
        <v>219</v>
      </c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Di</v>
      </c>
      <c r="N30" s="147"/>
      <c r="O30" s="82">
        <f t="shared" si="2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</row>
    <row r="31" spans="1:19" x14ac:dyDescent="0.2">
      <c r="A31" s="96">
        <f t="shared" ca="1" si="6"/>
        <v>45434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Mi</v>
      </c>
      <c r="N31" s="147"/>
      <c r="O31" s="82">
        <f t="shared" si="2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</row>
    <row r="32" spans="1:19" x14ac:dyDescent="0.2">
      <c r="A32" s="96">
        <f t="shared" ca="1" si="6"/>
        <v>45435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 t="str">
        <f t="shared" ca="1" si="1"/>
        <v/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Do</v>
      </c>
      <c r="N32" s="147"/>
      <c r="O32" s="82">
        <f t="shared" si="2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</row>
    <row r="33" spans="1:19" x14ac:dyDescent="0.2">
      <c r="A33" s="96">
        <f t="shared" ca="1" si="6"/>
        <v>45436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Fr</v>
      </c>
      <c r="N33" s="147"/>
      <c r="O33" s="82">
        <f t="shared" si="2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</row>
    <row r="34" spans="1:19" x14ac:dyDescent="0.2">
      <c r="A34" s="96">
        <f t="shared" ca="1" si="6"/>
        <v>45437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frei</v>
      </c>
      <c r="N34" s="147"/>
      <c r="O34" s="82">
        <f t="shared" si="2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</row>
    <row r="35" spans="1:19" x14ac:dyDescent="0.2">
      <c r="A35" s="96">
        <f t="shared" ca="1" si="6"/>
        <v>45438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>
        <f t="shared" ca="1" si="1"/>
        <v>0</v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frei</v>
      </c>
      <c r="N35" s="147"/>
      <c r="O35" s="82">
        <f t="shared" si="2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</row>
    <row r="36" spans="1:19" x14ac:dyDescent="0.2">
      <c r="A36" s="96">
        <f t="shared" ca="1" si="6"/>
        <v>45439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Mo</v>
      </c>
      <c r="N36" s="147"/>
      <c r="O36" s="82">
        <f t="shared" si="2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</row>
    <row r="37" spans="1:19" x14ac:dyDescent="0.2">
      <c r="A37" s="96">
        <f t="shared" ca="1" si="6"/>
        <v>45440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Di</v>
      </c>
      <c r="N37" s="147"/>
      <c r="O37" s="82">
        <f t="shared" si="2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</row>
    <row r="38" spans="1:19" x14ac:dyDescent="0.2">
      <c r="A38" s="96">
        <f t="shared" ca="1" si="6"/>
        <v>45441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Mi</v>
      </c>
      <c r="N38" s="147"/>
      <c r="O38" s="82">
        <f t="shared" si="2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3"/>
        <v>0</v>
      </c>
      <c r="R38" s="68" t="str">
        <f t="shared" ca="1" si="5"/>
        <v/>
      </c>
      <c r="S38" s="87">
        <f t="shared" ca="1" si="4"/>
        <v>0</v>
      </c>
    </row>
    <row r="39" spans="1:19" x14ac:dyDescent="0.2">
      <c r="A39" s="96">
        <f t="shared" ca="1" si="6"/>
        <v>45442</v>
      </c>
      <c r="B39" s="75"/>
      <c r="C39" s="72"/>
      <c r="D39" s="72"/>
      <c r="E39" s="72"/>
      <c r="F39" s="75"/>
      <c r="G39" s="76"/>
      <c r="H39" s="72"/>
      <c r="I39" s="71">
        <f t="shared" si="0"/>
        <v>0</v>
      </c>
      <c r="J39" s="72"/>
      <c r="K39" s="77" t="s">
        <v>24</v>
      </c>
      <c r="L39" s="95" t="str">
        <f t="shared" ca="1" si="1"/>
        <v/>
      </c>
      <c r="M39" s="159" t="str">
        <f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frei</v>
      </c>
      <c r="N39" s="147"/>
      <c r="O39" s="82">
        <f t="shared" si="2"/>
        <v>0</v>
      </c>
      <c r="P39" s="82">
        <f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si="3"/>
        <v>0</v>
      </c>
      <c r="R39" s="68" t="str">
        <f t="shared" si="5"/>
        <v/>
      </c>
      <c r="S39" s="87">
        <f t="shared" ca="1" si="4"/>
        <v>0</v>
      </c>
    </row>
    <row r="40" spans="1:19" x14ac:dyDescent="0.2">
      <c r="A40" s="96">
        <f t="shared" ca="1" si="6"/>
        <v>45443</v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 t="str">
        <f ca="1">IF(OR(K40="Neujahr",K40="Dreikönig",K40="Gründonnerstag",K40="Karfreitag",K40="Ostermontag",K40="Staatsfeiertag",K40="Christi Himmelfahrt",K40="Pfingstmontag",K40="Fronleichnam",K40="Maria Himmelfahrt",K40="Nationalfeiertag",K40="Allerheiligen",K40="Allerseelen",K40="Maria Empfängnis",K40="Hl.Abend",K40="Christtag",K40="Stephanitag",K40="Silvester",),"frei",IF(OR(WEEKDAY(A40)='Static Data'!$C$27,WEEKDAY(A40)='Static Data'!$C$21,WEEKDAY(A40)='Static Data'!$C$22,WEEKDAY(A40)='Static Data'!$C$23,WEEKDAY(A40)='Static Data'!$C$24,WEEKDAY(A40)='Static Data'!$C$25,WEEKDAY(A40)=Start!$E$124),"frei",IF(AND(WEEKDAY(A40)=6,'Static Data'!$C$25=6),"frei",IF(AND(WEEKDAY(A40)=7,'Static Data'!$C$26=7),"frei",IF(AND(K40="Allerseelen",Start!$B$26="DBO 1993"),"frei",IF(AND(K40="Pfingstdienstag",Start!$B$26="DBO 1993"),"frei",IF(AND(K40="Hl. Josef", Start!$B$14="Tirol"),"frei",IF(AND(K40="Hl. Rupert", Start!$B$14="Salzburg"),"frei",IF(AND(Start!$B$26="DBO 1993",COUNTIF(K40,"Fasching*")),"FD",TEXT(A40,"TTT"))))))))))</f>
        <v>Fr</v>
      </c>
      <c r="N40" s="147"/>
      <c r="O40" s="82">
        <f t="shared" si="2"/>
        <v>0</v>
      </c>
      <c r="P40" s="82">
        <f ca="1"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>
        <f t="shared" ca="1" si="3"/>
        <v>0</v>
      </c>
      <c r="R40" s="68" t="str">
        <f t="shared" ca="1" si="5"/>
        <v/>
      </c>
      <c r="S40" s="87">
        <f t="shared" ca="1" si="4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21.7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IF(OR(I43&gt;0,G5&gt;0,H5&gt;0),IF(AND(Apr!I43=0,Apr!G5=0,Apr!H5=0),Start!B40,Apr!L47),0)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1.7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5.7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6.2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A50" s="206"/>
      <c r="B50" s="206"/>
      <c r="C50" s="206"/>
      <c r="D50" s="206"/>
      <c r="E50" s="206"/>
      <c r="F50" s="206"/>
      <c r="G50" s="204"/>
      <c r="H50" s="204"/>
      <c r="I50" s="204"/>
      <c r="J50" s="205"/>
      <c r="K50" s="205"/>
    </row>
    <row r="51" spans="1:11" x14ac:dyDescent="0.2">
      <c r="A51" s="206" t="s">
        <v>10</v>
      </c>
      <c r="B51" s="207"/>
      <c r="C51" s="207"/>
      <c r="D51" s="207"/>
      <c r="E51" s="207"/>
      <c r="F51" s="207"/>
      <c r="G51" s="204"/>
      <c r="H51" s="204"/>
      <c r="I51" s="204"/>
      <c r="J51" s="205"/>
      <c r="K51" s="205"/>
    </row>
    <row r="54" spans="1:11" x14ac:dyDescent="0.2"/>
  </sheetData>
  <sheetProtection password="DB57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A41">
    <cfRule type="expression" dxfId="500" priority="163">
      <formula>WEEKDAY($A10,2)&gt;5</formula>
    </cfRule>
  </conditionalFormatting>
  <conditionalFormatting sqref="L47">
    <cfRule type="cellIs" dxfId="499" priority="149" operator="greaterThan">
      <formula>80</formula>
    </cfRule>
  </conditionalFormatting>
  <conditionalFormatting sqref="I10">
    <cfRule type="expression" dxfId="498" priority="103">
      <formula>(G10-F10)&gt;6/24</formula>
    </cfRule>
    <cfRule type="expression" dxfId="497" priority="104">
      <formula>(E10-D10)&gt;6/24</formula>
    </cfRule>
    <cfRule type="expression" dxfId="496" priority="105">
      <formula>(C10-B10)&gt;6/24</formula>
    </cfRule>
    <cfRule type="expression" dxfId="495" priority="107">
      <formula>WEEKDAY($A10,2)&gt;5</formula>
    </cfRule>
  </conditionalFormatting>
  <conditionalFormatting sqref="I10">
    <cfRule type="cellIs" dxfId="494" priority="106" operator="greaterThan">
      <formula>0.416666666666667</formula>
    </cfRule>
  </conditionalFormatting>
  <conditionalFormatting sqref="B10:H10">
    <cfRule type="expression" dxfId="493" priority="102">
      <formula>WEEKDAY($A10,2)&gt;5</formula>
    </cfRule>
  </conditionalFormatting>
  <conditionalFormatting sqref="J10:K10">
    <cfRule type="expression" dxfId="492" priority="91">
      <formula>WEEKDAY($A10,2)&gt;5</formula>
    </cfRule>
  </conditionalFormatting>
  <conditionalFormatting sqref="L41 L10:L39">
    <cfRule type="expression" dxfId="491" priority="63">
      <formula>WEEKDAY($A10,2)&gt;5</formula>
    </cfRule>
  </conditionalFormatting>
  <conditionalFormatting sqref="L41 L10:L39">
    <cfRule type="cellIs" dxfId="490" priority="62" operator="greaterThan">
      <formula>2.08333333333333</formula>
    </cfRule>
  </conditionalFormatting>
  <conditionalFormatting sqref="L41 L10:L39">
    <cfRule type="expression" dxfId="489" priority="61">
      <formula>L10=""</formula>
    </cfRule>
  </conditionalFormatting>
  <conditionalFormatting sqref="I11:I39 I41">
    <cfRule type="expression" dxfId="488" priority="56">
      <formula>(G11-F11)&gt;6/24</formula>
    </cfRule>
    <cfRule type="expression" dxfId="487" priority="57">
      <formula>(E11-D11)&gt;6/24</formula>
    </cfRule>
    <cfRule type="expression" dxfId="486" priority="58">
      <formula>(C11-B11)&gt;6/24</formula>
    </cfRule>
    <cfRule type="expression" dxfId="485" priority="60">
      <formula>WEEKDAY($A11,2)&gt;5</formula>
    </cfRule>
  </conditionalFormatting>
  <conditionalFormatting sqref="I11:I39 I41">
    <cfRule type="cellIs" dxfId="484" priority="59" operator="greaterThan">
      <formula>0.416666666666667</formula>
    </cfRule>
  </conditionalFormatting>
  <conditionalFormatting sqref="B11:H31 B35:H38 F32:H34 F39:H39 F41:H41">
    <cfRule type="expression" dxfId="483" priority="55">
      <formula>WEEKDAY($A11,2)&gt;5</formula>
    </cfRule>
  </conditionalFormatting>
  <conditionalFormatting sqref="C32:E32">
    <cfRule type="expression" dxfId="482" priority="54">
      <formula>WEEKDAY($A32,2)&gt;5</formula>
    </cfRule>
  </conditionalFormatting>
  <conditionalFormatting sqref="B32">
    <cfRule type="expression" dxfId="481" priority="53">
      <formula>WEEKDAY($A32,2)&gt;5</formula>
    </cfRule>
  </conditionalFormatting>
  <conditionalFormatting sqref="C33:E33">
    <cfRule type="expression" dxfId="480" priority="52">
      <formula>WEEKDAY($A33,2)&gt;5</formula>
    </cfRule>
  </conditionalFormatting>
  <conditionalFormatting sqref="B33">
    <cfRule type="expression" dxfId="479" priority="51">
      <formula>WEEKDAY($A33,2)&gt;5</formula>
    </cfRule>
  </conditionalFormatting>
  <conditionalFormatting sqref="C34:E34">
    <cfRule type="expression" dxfId="478" priority="50">
      <formula>WEEKDAY($A34,2)&gt;5</formula>
    </cfRule>
  </conditionalFormatting>
  <conditionalFormatting sqref="B34">
    <cfRule type="expression" dxfId="477" priority="49">
      <formula>WEEKDAY($A34,2)&gt;5</formula>
    </cfRule>
  </conditionalFormatting>
  <conditionalFormatting sqref="C39:E39">
    <cfRule type="expression" dxfId="476" priority="48">
      <formula>WEEKDAY($A39,2)&gt;5</formula>
    </cfRule>
  </conditionalFormatting>
  <conditionalFormatting sqref="B39">
    <cfRule type="expression" dxfId="475" priority="47">
      <formula>WEEKDAY($A39,2)&gt;5</formula>
    </cfRule>
  </conditionalFormatting>
  <conditionalFormatting sqref="C41:E41">
    <cfRule type="expression" dxfId="474" priority="46">
      <formula>WEEKDAY($A41,2)&gt;5</formula>
    </cfRule>
  </conditionalFormatting>
  <conditionalFormatting sqref="B41">
    <cfRule type="expression" dxfId="473" priority="45">
      <formula>WEEKDAY($A41,2)&gt;5</formula>
    </cfRule>
  </conditionalFormatting>
  <conditionalFormatting sqref="J36:K39 J33:J35 J11:K13 J15:K23 J14 J27:K32 J24:J26 J41:K41">
    <cfRule type="expression" dxfId="472" priority="44">
      <formula>WEEKDAY($A11,2)&gt;5</formula>
    </cfRule>
  </conditionalFormatting>
  <conditionalFormatting sqref="K33">
    <cfRule type="expression" dxfId="471" priority="43">
      <formula>WEEKDAY($A33,2)&gt;5</formula>
    </cfRule>
  </conditionalFormatting>
  <conditionalFormatting sqref="K34">
    <cfRule type="expression" dxfId="470" priority="42">
      <formula>WEEKDAY($A34,2)&gt;5</formula>
    </cfRule>
  </conditionalFormatting>
  <conditionalFormatting sqref="K14">
    <cfRule type="expression" dxfId="469" priority="41">
      <formula>WEEKDAY($A14,2)&gt;5</formula>
    </cfRule>
  </conditionalFormatting>
  <conditionalFormatting sqref="K24:K26">
    <cfRule type="expression" dxfId="468" priority="40">
      <formula>WEEKDAY($A24,2)&gt;5</formula>
    </cfRule>
  </conditionalFormatting>
  <conditionalFormatting sqref="K35">
    <cfRule type="expression" dxfId="467" priority="39">
      <formula>WEEKDAY($A35,2)&gt;5</formula>
    </cfRule>
  </conditionalFormatting>
  <conditionalFormatting sqref="A10:K39 A40 A41:K41">
    <cfRule type="expression" dxfId="466" priority="32">
      <formula>$M10="frei"</formula>
    </cfRule>
  </conditionalFormatting>
  <conditionalFormatting sqref="K22">
    <cfRule type="expression" dxfId="465" priority="38">
      <formula>WEEKDAY($A22,2)&gt;5</formula>
    </cfRule>
  </conditionalFormatting>
  <conditionalFormatting sqref="K32:K34">
    <cfRule type="expression" dxfId="464" priority="37">
      <formula>WEEKDAY($A32,2)&gt;5</formula>
    </cfRule>
  </conditionalFormatting>
  <conditionalFormatting sqref="M10:M41">
    <cfRule type="expression" dxfId="463" priority="34">
      <formula>M10="FD"</formula>
    </cfRule>
    <cfRule type="expression" dxfId="462" priority="35">
      <formula>M10="frei"</formula>
    </cfRule>
  </conditionalFormatting>
  <conditionalFormatting sqref="K35">
    <cfRule type="expression" dxfId="461" priority="36">
      <formula>WEEKDAY($A35,2)&gt;5</formula>
    </cfRule>
  </conditionalFormatting>
  <conditionalFormatting sqref="K35">
    <cfRule type="expression" dxfId="460" priority="33">
      <formula>WEEKDAY($A35,2)&gt;5</formula>
    </cfRule>
  </conditionalFormatting>
  <conditionalFormatting sqref="A42">
    <cfRule type="expression" dxfId="459" priority="30">
      <formula>$M42="frei"</formula>
    </cfRule>
  </conditionalFormatting>
  <conditionalFormatting sqref="I40">
    <cfRule type="expression" dxfId="458" priority="22">
      <formula>(G40-F40)&gt;6/24</formula>
    </cfRule>
    <cfRule type="expression" dxfId="457" priority="23">
      <formula>(E40-D40)&gt;6/24</formula>
    </cfRule>
    <cfRule type="expression" dxfId="456" priority="24">
      <formula>(C40-B40)&gt;6/24</formula>
    </cfRule>
    <cfRule type="expression" dxfId="455" priority="26">
      <formula>WEEKDAY($A40,2)&gt;5</formula>
    </cfRule>
  </conditionalFormatting>
  <conditionalFormatting sqref="I40">
    <cfRule type="cellIs" dxfId="454" priority="25" operator="greaterThan">
      <formula>0.416666666666667</formula>
    </cfRule>
  </conditionalFormatting>
  <conditionalFormatting sqref="F40 H40">
    <cfRule type="expression" dxfId="453" priority="21">
      <formula>WEEKDAY($A40,2)&gt;5</formula>
    </cfRule>
  </conditionalFormatting>
  <conditionalFormatting sqref="C40:E40">
    <cfRule type="expression" dxfId="452" priority="20">
      <formula>WEEKDAY($A40,2)&gt;5</formula>
    </cfRule>
  </conditionalFormatting>
  <conditionalFormatting sqref="B40">
    <cfRule type="expression" dxfId="451" priority="19">
      <formula>WEEKDAY($A40,2)&gt;5</formula>
    </cfRule>
  </conditionalFormatting>
  <conditionalFormatting sqref="J40:K40">
    <cfRule type="expression" dxfId="450" priority="18">
      <formula>WEEKDAY($A40,2)&gt;5</formula>
    </cfRule>
  </conditionalFormatting>
  <conditionalFormatting sqref="B40:F40 H40:K40">
    <cfRule type="expression" dxfId="449" priority="17">
      <formula>$M40="frei"</formula>
    </cfRule>
  </conditionalFormatting>
  <conditionalFormatting sqref="G40">
    <cfRule type="expression" dxfId="448" priority="16">
      <formula>WEEKDAY($A40,2)&gt;5</formula>
    </cfRule>
  </conditionalFormatting>
  <conditionalFormatting sqref="G40">
    <cfRule type="expression" dxfId="447" priority="15">
      <formula>$M40="frei"</formula>
    </cfRule>
  </conditionalFormatting>
  <conditionalFormatting sqref="L40">
    <cfRule type="expression" dxfId="446" priority="14">
      <formula>WEEKDAY($A40,2)&gt;5</formula>
    </cfRule>
  </conditionalFormatting>
  <conditionalFormatting sqref="L40">
    <cfRule type="cellIs" dxfId="445" priority="13" operator="greaterThan">
      <formula>2.08333333333333</formula>
    </cfRule>
  </conditionalFormatting>
  <conditionalFormatting sqref="L40">
    <cfRule type="expression" dxfId="444" priority="12">
      <formula>L40=""</formula>
    </cfRule>
  </conditionalFormatting>
  <conditionalFormatting sqref="J43 L43">
    <cfRule type="expression" dxfId="443" priority="9">
      <formula>WEEKDAY($A43,2)&gt;5</formula>
    </cfRule>
  </conditionalFormatting>
  <conditionalFormatting sqref="J43 L43">
    <cfRule type="expression" dxfId="442" priority="8">
      <formula>$M43="frei"</formula>
    </cfRule>
  </conditionalFormatting>
  <conditionalFormatting sqref="J42 L42">
    <cfRule type="expression" dxfId="441" priority="7">
      <formula>WEEKDAY($A42,2)&gt;5</formula>
    </cfRule>
  </conditionalFormatting>
  <conditionalFormatting sqref="J42 L42">
    <cfRule type="expression" dxfId="440" priority="6">
      <formula>$M42="frei"</formula>
    </cfRule>
  </conditionalFormatting>
  <conditionalFormatting sqref="K42">
    <cfRule type="expression" dxfId="439" priority="5">
      <formula>WEEKDAY($A42,2)&gt;5</formula>
    </cfRule>
  </conditionalFormatting>
  <conditionalFormatting sqref="K42">
    <cfRule type="expression" dxfId="438" priority="4">
      <formula>$M42="frei"</formula>
    </cfRule>
  </conditionalFormatting>
  <conditionalFormatting sqref="K43">
    <cfRule type="expression" dxfId="437" priority="3">
      <formula>WEEKDAY($A43,2)&gt;5</formula>
    </cfRule>
  </conditionalFormatting>
  <conditionalFormatting sqref="K43">
    <cfRule type="expression" dxfId="436" priority="2">
      <formula>$M43="frei"</formula>
    </cfRule>
  </conditionalFormatting>
  <conditionalFormatting sqref="I46">
    <cfRule type="expression" dxfId="435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topLeftCell="A19" zoomScaleNormal="100" workbookViewId="0">
      <selection activeCell="M40" sqref="M40"/>
    </sheetView>
  </sheetViews>
  <sheetFormatPr baseColWidth="10" defaultColWidth="0" defaultRowHeight="12.75" zeroHeight="1" x14ac:dyDescent="0.2"/>
  <cols>
    <col min="1" max="1" width="15.140625" style="78" customWidth="1"/>
    <col min="2" max="2" width="5.85546875" style="78" customWidth="1"/>
    <col min="3" max="3" width="6.140625" style="78" customWidth="1"/>
    <col min="4" max="4" width="5.5703125" style="78" customWidth="1"/>
    <col min="5" max="5" width="5.28515625" style="78" customWidth="1"/>
    <col min="6" max="8" width="6.5703125" style="78" customWidth="1"/>
    <col min="9" max="9" width="7.7109375" style="78" customWidth="1"/>
    <col min="10" max="10" width="5.7109375" style="78" customWidth="1"/>
    <col min="11" max="11" width="19.85546875" style="78" bestFit="1" customWidth="1"/>
    <col min="12" max="12" width="7.28515625" style="78" customWidth="1"/>
    <col min="13" max="13" width="11.42578125" style="78" customWidth="1"/>
    <col min="14" max="14" width="4.7109375" style="78" customWidth="1"/>
    <col min="15" max="15" width="10" style="78" customWidth="1"/>
    <col min="16" max="16" width="10.7109375" style="78" bestFit="1" customWidth="1"/>
    <col min="17" max="17" width="9.28515625" style="78" bestFit="1" customWidth="1"/>
    <col min="18" max="18" width="8.42578125" style="78" customWidth="1"/>
    <col min="19" max="20" width="11.42578125" style="78" customWidth="1"/>
    <col min="21" max="16384" width="11.42578125" style="78" hidden="1"/>
  </cols>
  <sheetData>
    <row r="1" spans="1:21" ht="31.5" customHeight="1" thickTop="1" thickBot="1" x14ac:dyDescent="0.25">
      <c r="A1" s="400" t="str">
        <f>Start!B1</f>
        <v>Finanzkammer der
Erzdiözese Salzburg</v>
      </c>
      <c r="B1" s="401"/>
      <c r="C1" s="401"/>
      <c r="D1" s="401"/>
      <c r="E1" s="401"/>
      <c r="F1" s="397" t="s">
        <v>15</v>
      </c>
      <c r="G1" s="397"/>
      <c r="H1" s="397"/>
      <c r="I1" s="397"/>
      <c r="J1" s="397"/>
      <c r="K1" s="398"/>
      <c r="L1" s="399"/>
    </row>
    <row r="2" spans="1:21" ht="23.25" customHeight="1" thickTop="1" thickBot="1" x14ac:dyDescent="0.25">
      <c r="A2" s="247" t="str">
        <f>"Name: "&amp;Start!B11</f>
        <v>Name: NN</v>
      </c>
      <c r="B2" s="362"/>
      <c r="C2" s="249"/>
      <c r="D2" s="250"/>
      <c r="E2" s="248"/>
      <c r="F2" s="416" t="s">
        <v>175</v>
      </c>
      <c r="G2" s="413"/>
      <c r="H2" s="413" t="str">
        <f>Start!B25</f>
        <v>Modell1</v>
      </c>
      <c r="I2" s="413"/>
      <c r="J2" s="413"/>
      <c r="K2" s="308" t="s">
        <v>17</v>
      </c>
      <c r="L2" s="309">
        <f>Start!B32</f>
        <v>38718</v>
      </c>
    </row>
    <row r="3" spans="1:21" ht="19.5" customHeight="1" thickTop="1" thickBot="1" x14ac:dyDescent="0.25">
      <c r="A3" s="247" t="s">
        <v>1</v>
      </c>
      <c r="B3" s="414">
        <f ca="1">A10</f>
        <v>45444</v>
      </c>
      <c r="C3" s="414"/>
      <c r="D3" s="414"/>
      <c r="E3" s="415"/>
      <c r="F3" s="416" t="s">
        <v>39</v>
      </c>
      <c r="G3" s="413"/>
      <c r="H3" s="413" t="str">
        <f>'Static Data'!$A$21&amp;" "&amp;'Static Data'!$A$22&amp;" "&amp;'Static Data'!$A$23&amp;" "&amp;'Static Data'!$A$24&amp;" "&amp;'Static Data'!$A$25&amp;" "&amp;'Static Data'!$A$26&amp;" "&amp;'Static Data'!$A$27</f>
        <v xml:space="preserve">Mo Di Mi Do Fr  </v>
      </c>
      <c r="I3" s="413"/>
      <c r="J3" s="413"/>
      <c r="K3" s="307" t="s">
        <v>54</v>
      </c>
      <c r="L3" s="89">
        <f>Start!B33</f>
        <v>25</v>
      </c>
      <c r="O3" s="183"/>
      <c r="P3" s="78" t="str">
        <f>SUBSTITUTE(E15," ","")</f>
        <v/>
      </c>
    </row>
    <row r="4" spans="1:21" ht="17.25" thickTop="1" x14ac:dyDescent="0.2">
      <c r="A4" s="6" t="s">
        <v>2</v>
      </c>
      <c r="B4" s="321" t="str">
        <f>Start!B12</f>
        <v>NN</v>
      </c>
      <c r="C4" s="322"/>
      <c r="D4" s="254" t="s">
        <v>39</v>
      </c>
      <c r="E4" s="254" t="s">
        <v>44</v>
      </c>
      <c r="F4" s="187" t="s">
        <v>43</v>
      </c>
      <c r="G4" s="188" t="s">
        <v>42</v>
      </c>
      <c r="H4" s="188" t="s">
        <v>40</v>
      </c>
      <c r="I4" s="187" t="s">
        <v>41</v>
      </c>
      <c r="J4" s="189"/>
      <c r="K4" s="190" t="s">
        <v>18</v>
      </c>
      <c r="L4" s="136">
        <f ca="1">+Mai!L7</f>
        <v>25</v>
      </c>
      <c r="U4" s="78" t="s">
        <v>211</v>
      </c>
    </row>
    <row r="5" spans="1:21" x14ac:dyDescent="0.2">
      <c r="A5" s="7" t="s">
        <v>3</v>
      </c>
      <c r="B5" s="323" t="str">
        <f>Start!B13</f>
        <v>123456</v>
      </c>
      <c r="C5" s="320"/>
      <c r="D5" s="69">
        <f ca="1">N9</f>
        <v>20</v>
      </c>
      <c r="E5" s="74">
        <f>Start!B29</f>
        <v>0.33333333333333331</v>
      </c>
      <c r="F5" s="74">
        <f ca="1">+D5*E5</f>
        <v>6.6666666666666661</v>
      </c>
      <c r="G5" s="74">
        <f>+L6*E5</f>
        <v>0</v>
      </c>
      <c r="H5" s="74">
        <f>SUM(J10:J40)</f>
        <v>0</v>
      </c>
      <c r="I5" s="74">
        <f ca="1">+F5-G5-H5</f>
        <v>6.6666666666666661</v>
      </c>
      <c r="J5" s="191"/>
      <c r="K5" s="192" t="s">
        <v>19</v>
      </c>
      <c r="L5" s="92">
        <f ca="1">IF(MONTH(L2)=MONTH(A10),L3,0)</f>
        <v>0</v>
      </c>
    </row>
    <row r="6" spans="1:21" ht="12.75" customHeight="1" x14ac:dyDescent="0.2">
      <c r="A6" s="7"/>
      <c r="B6" s="256"/>
      <c r="C6" s="252"/>
      <c r="D6" s="252"/>
      <c r="E6" s="252"/>
      <c r="F6" s="252"/>
      <c r="G6" s="252"/>
      <c r="H6" s="252"/>
      <c r="I6" s="252"/>
      <c r="J6" s="252"/>
      <c r="K6" s="192" t="s">
        <v>20</v>
      </c>
      <c r="L6" s="93">
        <f>COUNTIF(K10:K40,"Urlaub*")</f>
        <v>0</v>
      </c>
    </row>
    <row r="7" spans="1:21" ht="13.5" customHeight="1" thickBot="1" x14ac:dyDescent="0.25">
      <c r="A7" s="8"/>
      <c r="B7" s="255"/>
      <c r="C7" s="194"/>
      <c r="E7" s="253"/>
      <c r="F7" s="253"/>
      <c r="G7" s="253"/>
      <c r="H7" s="253"/>
      <c r="I7" s="253"/>
      <c r="J7" s="253"/>
      <c r="K7" s="195" t="s">
        <v>21</v>
      </c>
      <c r="L7" s="135">
        <f ca="1">(L4+L5-L6)</f>
        <v>25</v>
      </c>
      <c r="O7" s="80" t="s">
        <v>105</v>
      </c>
    </row>
    <row r="8" spans="1:21" ht="14.25" thickTop="1" thickBot="1" x14ac:dyDescent="0.25">
      <c r="A8" s="406"/>
      <c r="B8" s="407"/>
      <c r="C8" s="407"/>
      <c r="D8" s="407"/>
      <c r="E8" s="407"/>
      <c r="F8" s="407"/>
      <c r="G8" s="407"/>
      <c r="H8" s="407"/>
      <c r="I8" s="407"/>
      <c r="J8" s="407"/>
      <c r="K8" s="408"/>
      <c r="L8" s="196"/>
      <c r="M8" s="79"/>
      <c r="N8" s="79"/>
      <c r="O8" s="79" t="s">
        <v>101</v>
      </c>
      <c r="P8" s="78" t="s">
        <v>102</v>
      </c>
      <c r="Q8" s="79" t="s">
        <v>103</v>
      </c>
      <c r="R8" s="78" t="s">
        <v>104</v>
      </c>
    </row>
    <row r="9" spans="1:21" ht="52.5" thickTop="1" thickBot="1" x14ac:dyDescent="0.25">
      <c r="A9" s="197" t="s">
        <v>4</v>
      </c>
      <c r="B9" s="198" t="s">
        <v>5</v>
      </c>
      <c r="C9" s="198" t="s">
        <v>6</v>
      </c>
      <c r="D9" s="198" t="s">
        <v>5</v>
      </c>
      <c r="E9" s="198" t="s">
        <v>6</v>
      </c>
      <c r="F9" s="198" t="s">
        <v>5</v>
      </c>
      <c r="G9" s="198" t="s">
        <v>6</v>
      </c>
      <c r="H9" s="199" t="s">
        <v>11</v>
      </c>
      <c r="I9" s="200" t="s">
        <v>7</v>
      </c>
      <c r="J9" s="201" t="s">
        <v>12</v>
      </c>
      <c r="K9" s="202" t="s">
        <v>13</v>
      </c>
      <c r="L9" s="292" t="s">
        <v>14</v>
      </c>
      <c r="M9" s="79"/>
      <c r="N9" s="147">
        <f ca="1">IF(COUNTIF(M10:M40,"FD"),COUNTIF(M10:M40,"mo")+COUNTIF(M10:M40,"di")+COUNTIF(M10:M40,"mi")+COUNTIF(M10:M40,"do")+COUNTIF(M10:M40,"fr")+0.5,COUNTIF(M10:M40,"mo")+COUNTIF(M10:M40,"di")+COUNTIF(M10:M40,"mi")+COUNTIF(M10:M40,"do")+COUNTIF(M10:M40,"fr")+COUNTIF(M10:M40,"sa")++COUNTIF(M10:M40,"so"))</f>
        <v>20</v>
      </c>
      <c r="O9" s="83"/>
      <c r="P9" s="83"/>
      <c r="Q9" s="82"/>
      <c r="R9" s="86">
        <f>S9</f>
        <v>0</v>
      </c>
      <c r="S9" s="87">
        <f>+I42</f>
        <v>0</v>
      </c>
    </row>
    <row r="10" spans="1:21" ht="13.5" thickTop="1" x14ac:dyDescent="0.2">
      <c r="A10" s="96">
        <f ca="1">VALUE("1"&amp;REPLACE(CELL("Dateiname",A1),1,FIND("]",CELL("Dateiname",A1)),)&amp;YEAR(Jän!A10))</f>
        <v>45444</v>
      </c>
      <c r="B10" s="75"/>
      <c r="C10" s="72"/>
      <c r="D10" s="72"/>
      <c r="E10" s="72"/>
      <c r="F10" s="75"/>
      <c r="G10" s="75"/>
      <c r="H10" s="72"/>
      <c r="I10" s="71">
        <f t="shared" ref="I10:I40" si="0">(C10-B10)+(E10-D10)+(G10-F10)-H10</f>
        <v>0</v>
      </c>
      <c r="J10" s="72"/>
      <c r="K10" s="77"/>
      <c r="L10" s="133" t="str">
        <f t="shared" ref="L10:L40" ca="1" si="1">IF(TEXT(A10,"TTT")="So",SUM(I4:I10),"")</f>
        <v/>
      </c>
      <c r="M10" s="159" t="str">
        <f ca="1">IF(OR(K10="Neujahr",K10="Dreikönig",K10="Gründonnerstag",K10="Karfreitag",K10="Ostermontag",K10="Staatsfeiertag",K10="Christi Himmelfahrt",K10="Pfingstmontag",K10="Fronleichnam",K10="Maria Himmelfahrt",K10="Nationalfeiertag",K10="Allerheiligen",K10="Allerseelen",K10="Maria Empfängnis",K10="Hl.Abend",K10="Christtag",K10="Stephanitag",K10="Silvester",),"frei",IF(OR(WEEKDAY(A10)='Static Data'!$C$27,WEEKDAY(A10)='Static Data'!$C$21,WEEKDAY(A10)='Static Data'!$C$22,WEEKDAY(A10)='Static Data'!$C$23,WEEKDAY(A10)='Static Data'!$C$24,WEEKDAY(A10)='Static Data'!$C$25,WEEKDAY(A10)=Start!$E$124),"frei",IF(AND(WEEKDAY(A10)=6,'Static Data'!$C$25=6),"frei",IF(AND(WEEKDAY(A10)=7,'Static Data'!$C$26=7),"frei",IF(AND(K10="Allerseelen",Start!$B$26="DBO 1993"),"frei",IF(AND(K10="Pfingstdienstag",Start!$B$26="DBO 1993"),"frei",IF(AND(K10="Hl. Josef", Start!$B$14="Tirol"),"frei",IF(AND(K10="Hl. Rupert", Start!$B$14="Salzburg"),"frei",IF(AND(Start!$B$26="DBO 1993",COUNTIF(K10,"Fasching*")),"FD",TEXT(A10,"TTT"))))))))))</f>
        <v>frei</v>
      </c>
      <c r="O10" s="82">
        <f t="shared" ref="O10:O39" si="2">(I10+J10)*24</f>
        <v>0</v>
      </c>
      <c r="P10" s="82">
        <f ca="1">IF(AND(Start!$B$26="DBO 1993",K10="Faschingsdienstag",O10&gt;0),$E$5*24/2,IF(AND(Start!$B$26="DBO 1993",K10="Faschingsdienstag",O10=0),0,IF(AND(Start!$B$26="DBO 1993",K10="Faschingsdienstag ZA"),$E$5*24/2,IF(K10="ZA",$E$5*24,IF(OR(M10="frei",O10=0),0,$E$5*24)))))</f>
        <v>0</v>
      </c>
      <c r="Q10" s="81">
        <f t="shared" ref="Q10:Q39" ca="1" si="3">O10-P10</f>
        <v>0</v>
      </c>
      <c r="R10" s="68" t="str">
        <f ca="1">IF(Q10&lt;&gt;0,S9+Q10,"")</f>
        <v/>
      </c>
      <c r="S10" s="87">
        <f t="shared" ref="S10:S40" ca="1" si="4">S9+Q10</f>
        <v>0</v>
      </c>
    </row>
    <row r="11" spans="1:21" x14ac:dyDescent="0.2">
      <c r="A11" s="96">
        <f ca="1">IF(A10="","",IF(MONTH(A10+1)=MONTH($A$10),A10+1,""))</f>
        <v>45445</v>
      </c>
      <c r="B11" s="75"/>
      <c r="C11" s="72"/>
      <c r="D11" s="72"/>
      <c r="E11" s="72"/>
      <c r="F11" s="75"/>
      <c r="G11" s="75"/>
      <c r="H11" s="75"/>
      <c r="I11" s="71">
        <f t="shared" si="0"/>
        <v>0</v>
      </c>
      <c r="J11" s="72"/>
      <c r="K11" s="77"/>
      <c r="L11" s="95">
        <f ca="1">IF(TEXT(A11,"TTT")="So",SUM(I10:I11),"")</f>
        <v>0</v>
      </c>
      <c r="M11" s="159" t="str">
        <f ca="1">IF(OR(K11="Neujahr",K11="Dreikönig",K11="Gründonnerstag",K11="Karfreitag",K11="Ostermontag",K11="Staatsfeiertag",K11="Christi Himmelfahrt",K11="Pfingstmontag",K11="Fronleichnam",K11="Maria Himmelfahrt",K11="Nationalfeiertag",K11="Allerheiligen",K11="Allerseelen",K11="Maria Empfängnis",K11="Hl.Abend",K11="Christtag",K11="Stephanitag",K11="Silvester",),"frei",IF(OR(WEEKDAY(A11)='Static Data'!$C$27,WEEKDAY(A11)='Static Data'!$C$21,WEEKDAY(A11)='Static Data'!$C$22,WEEKDAY(A11)='Static Data'!$C$23,WEEKDAY(A11)='Static Data'!$C$24,WEEKDAY(A11)='Static Data'!$C$25,WEEKDAY(A11)=Start!$E$124),"frei",IF(AND(WEEKDAY(A11)=6,'Static Data'!$C$25=6),"frei",IF(AND(WEEKDAY(A11)=7,'Static Data'!$C$26=7),"frei",IF(AND(K11="Allerseelen",Start!$B$26="DBO 1993"),"frei",IF(AND(K11="Pfingstdienstag",Start!$B$26="DBO 1993"),"frei",IF(AND(K11="Hl. Josef", Start!$B$14="Tirol"),"frei",IF(AND(K11="Hl. Rupert", Start!$B$14="Salzburg"),"frei",IF(AND(Start!$B$26="DBO 1993",COUNTIF(K11,"Fasching*")),"FD",TEXT(A11,"TTT"))))))))))</f>
        <v>frei</v>
      </c>
      <c r="N11" s="147"/>
      <c r="O11" s="82">
        <f t="shared" si="2"/>
        <v>0</v>
      </c>
      <c r="P11" s="82">
        <f ca="1">IF(AND(Start!$B$26="DBO 1993",K11="Faschingsdienstag",O11&gt;0),$E$5*24/2,IF(AND(Start!$B$26="DBO 1993",K11="Faschingsdienstag",O11=0),0,IF(AND(Start!$B$26="DBO 1993",K11="Faschingsdienstag ZA"),$E$5*24/2,IF(K11="ZA",$E$5*24,IF(OR(M11="frei",O11=0),0,$E$5*24)))))</f>
        <v>0</v>
      </c>
      <c r="Q11" s="81">
        <f t="shared" ca="1" si="3"/>
        <v>0</v>
      </c>
      <c r="R11" s="68" t="str">
        <f t="shared" ref="R11:R39" ca="1" si="5">IF(Q11&lt;&gt;0,S10+Q11,"")</f>
        <v/>
      </c>
      <c r="S11" s="87">
        <f t="shared" ca="1" si="4"/>
        <v>0</v>
      </c>
    </row>
    <row r="12" spans="1:21" x14ac:dyDescent="0.2">
      <c r="A12" s="96">
        <f t="shared" ref="A12:A40" ca="1" si="6">IF(A11="","",IF(MONTH(A11+1)=MONTH($A$10),A11+1,""))</f>
        <v>45446</v>
      </c>
      <c r="B12" s="75"/>
      <c r="C12" s="72"/>
      <c r="D12" s="72"/>
      <c r="E12" s="72"/>
      <c r="F12" s="75"/>
      <c r="G12" s="72"/>
      <c r="H12" s="72"/>
      <c r="I12" s="71">
        <f t="shared" si="0"/>
        <v>0</v>
      </c>
      <c r="J12" s="72"/>
      <c r="K12" s="77"/>
      <c r="L12" s="95" t="str">
        <f t="shared" ca="1" si="1"/>
        <v/>
      </c>
      <c r="M12" s="159" t="str">
        <f ca="1">IF(OR(K12="Neujahr",K12="Dreikönig",K12="Gründonnerstag",K12="Karfreitag",K12="Ostermontag",K12="Staatsfeiertag",K12="Christi Himmelfahrt",K12="Pfingstmontag",K12="Fronleichnam",K12="Maria Himmelfahrt",K12="Nationalfeiertag",K12="Allerheiligen",K12="Allerseelen",K12="Maria Empfängnis",K12="Hl.Abend",K12="Christtag",K12="Stephanitag",K12="Silvester",),"frei",IF(OR(WEEKDAY(A12)='Static Data'!$C$27,WEEKDAY(A12)='Static Data'!$C$21,WEEKDAY(A12)='Static Data'!$C$22,WEEKDAY(A12)='Static Data'!$C$23,WEEKDAY(A12)='Static Data'!$C$24,WEEKDAY(A12)='Static Data'!$C$25,WEEKDAY(A12)=Start!$E$124),"frei",IF(AND(WEEKDAY(A12)=6,'Static Data'!$C$25=6),"frei",IF(AND(WEEKDAY(A12)=7,'Static Data'!$C$26=7),"frei",IF(AND(K12="Allerseelen",Start!$B$26="DBO 1993"),"frei",IF(AND(K12="Pfingstdienstag",Start!$B$26="DBO 1993"),"frei",IF(AND(K12="Hl. Josef", Start!$B$14="Tirol"),"frei",IF(AND(K12="Hl. Rupert", Start!$B$14="Salzburg"),"frei",IF(AND(Start!$B$26="DBO 1993",COUNTIF(K12,"Fasching*")),"FD",TEXT(A12,"TTT"))))))))))</f>
        <v>Mo</v>
      </c>
      <c r="N12" s="147"/>
      <c r="O12" s="82">
        <f>(I12+J12)*24</f>
        <v>0</v>
      </c>
      <c r="P12" s="82">
        <f ca="1">IF(AND(Start!$B$26="DBO 1993",K12="Faschingsdienstag",O12&gt;0),$E$5*24/2,IF(AND(Start!$B$26="DBO 1993",K12="Faschingsdienstag",O12=0),0,IF(AND(Start!$B$26="DBO 1993",K12="Faschingsdienstag ZA"),$E$5*24/2,IF(K12="ZA",$E$5*24,IF(OR(M12="frei",O12=0),0,$E$5*24)))))</f>
        <v>0</v>
      </c>
      <c r="Q12" s="81">
        <f t="shared" ca="1" si="3"/>
        <v>0</v>
      </c>
      <c r="R12" s="68" t="str">
        <f t="shared" ca="1" si="5"/>
        <v/>
      </c>
      <c r="S12" s="87">
        <f t="shared" ca="1" si="4"/>
        <v>0</v>
      </c>
    </row>
    <row r="13" spans="1:21" x14ac:dyDescent="0.2">
      <c r="A13" s="96">
        <f t="shared" ca="1" si="6"/>
        <v>45447</v>
      </c>
      <c r="B13" s="75"/>
      <c r="C13" s="72"/>
      <c r="D13" s="72"/>
      <c r="E13" s="72"/>
      <c r="F13" s="75"/>
      <c r="G13" s="72"/>
      <c r="H13" s="72"/>
      <c r="I13" s="71">
        <f t="shared" si="0"/>
        <v>0</v>
      </c>
      <c r="J13" s="72"/>
      <c r="K13" s="77"/>
      <c r="L13" s="95" t="str">
        <f t="shared" ca="1" si="1"/>
        <v/>
      </c>
      <c r="M13" s="159" t="str">
        <f ca="1">IF(OR(K13="Neujahr",K13="Dreikönig",K13="Gründonnerstag",K13="Karfreitag",K13="Ostermontag",K13="Staatsfeiertag",K13="Christi Himmelfahrt",K13="Pfingstmontag",K13="Fronleichnam",K13="Maria Himmelfahrt",K13="Nationalfeiertag",K13="Allerheiligen",K13="Allerseelen",K13="Maria Empfängnis",K13="Hl.Abend",K13="Christtag",K13="Stephanitag",K13="Silvester",),"frei",IF(OR(WEEKDAY(A13)='Static Data'!$C$27,WEEKDAY(A13)='Static Data'!$C$21,WEEKDAY(A13)='Static Data'!$C$22,WEEKDAY(A13)='Static Data'!$C$23,WEEKDAY(A13)='Static Data'!$C$24,WEEKDAY(A13)='Static Data'!$C$25,WEEKDAY(A13)=Start!$E$124),"frei",IF(AND(WEEKDAY(A13)=6,'Static Data'!$C$25=6),"frei",IF(AND(WEEKDAY(A13)=7,'Static Data'!$C$26=7),"frei",IF(AND(K13="Allerseelen",Start!$B$26="DBO 1993"),"frei",IF(AND(K13="Pfingstdienstag",Start!$B$26="DBO 1993"),"frei",IF(AND(K13="Hl. Josef", Start!$B$14="Tirol"),"frei",IF(AND(K13="Hl. Rupert", Start!$B$14="Salzburg"),"frei",IF(AND(Start!$B$26="DBO 1993",COUNTIF(K13,"Fasching*")),"FD",TEXT(A13,"TTT"))))))))))</f>
        <v>Di</v>
      </c>
      <c r="N13" s="147"/>
      <c r="O13" s="82">
        <f t="shared" si="2"/>
        <v>0</v>
      </c>
      <c r="P13" s="82">
        <f ca="1">IF(AND(Start!$B$26="DBO 1993",K13="Faschingsdienstag",O13&gt;0),$E$5*24/2,IF(AND(Start!$B$26="DBO 1993",K13="Faschingsdienstag",O13=0),0,IF(AND(Start!$B$26="DBO 1993",K13="Faschingsdienstag ZA"),$E$5*24/2,IF(K13="ZA",$E$5*24,IF(OR(M13="frei",O13=0),0,$E$5*24)))))</f>
        <v>0</v>
      </c>
      <c r="Q13" s="81">
        <f t="shared" ca="1" si="3"/>
        <v>0</v>
      </c>
      <c r="R13" s="68" t="str">
        <f t="shared" ca="1" si="5"/>
        <v/>
      </c>
      <c r="S13" s="87">
        <f t="shared" ca="1" si="4"/>
        <v>0</v>
      </c>
    </row>
    <row r="14" spans="1:21" x14ac:dyDescent="0.2">
      <c r="A14" s="96">
        <f t="shared" ca="1" si="6"/>
        <v>45448</v>
      </c>
      <c r="B14" s="75"/>
      <c r="C14" s="72"/>
      <c r="D14" s="72"/>
      <c r="E14" s="72"/>
      <c r="F14" s="75"/>
      <c r="G14" s="72"/>
      <c r="H14" s="72"/>
      <c r="I14" s="71">
        <f t="shared" si="0"/>
        <v>0</v>
      </c>
      <c r="J14" s="72"/>
      <c r="K14" s="77"/>
      <c r="L14" s="95" t="str">
        <f t="shared" ca="1" si="1"/>
        <v/>
      </c>
      <c r="M14" s="159" t="str">
        <f ca="1">IF(OR(K14="Neujahr",K14="Dreikönig",K14="Gründonnerstag",K14="Karfreitag",K14="Ostermontag",K14="Staatsfeiertag",K14="Christi Himmelfahrt",K14="Pfingstmontag",K14="Fronleichnam",K14="Maria Himmelfahrt",K14="Nationalfeiertag",K14="Allerheiligen",K14="Allerseelen",K14="Maria Empfängnis",K14="Hl.Abend",K14="Christtag",K14="Stephanitag",K14="Silvester",),"frei",IF(OR(WEEKDAY(A14)='Static Data'!$C$27,WEEKDAY(A14)='Static Data'!$C$21,WEEKDAY(A14)='Static Data'!$C$22,WEEKDAY(A14)='Static Data'!$C$23,WEEKDAY(A14)='Static Data'!$C$24,WEEKDAY(A14)='Static Data'!$C$25,WEEKDAY(A14)=Start!$E$124),"frei",IF(AND(WEEKDAY(A14)=6,'Static Data'!$C$25=6),"frei",IF(AND(WEEKDAY(A14)=7,'Static Data'!$C$26=7),"frei",IF(AND(K14="Allerseelen",Start!$B$26="DBO 1993"),"frei",IF(AND(K14="Pfingstdienstag",Start!$B$26="DBO 1993"),"frei",IF(AND(K14="Hl. Josef", Start!$B$14="Tirol"),"frei",IF(AND(K14="Hl. Rupert", Start!$B$14="Salzburg"),"frei",IF(AND(Start!$B$26="DBO 1993",COUNTIF(K14,"Fasching*")),"FD",TEXT(A14,"TTT"))))))))))</f>
        <v>Mi</v>
      </c>
      <c r="N14" s="147"/>
      <c r="O14" s="82">
        <f t="shared" si="2"/>
        <v>0</v>
      </c>
      <c r="P14" s="82">
        <f ca="1">IF(AND(Start!$B$26="DBO 1993",K14="Faschingsdienstag",O14&gt;0),$E$5*24/2,IF(AND(Start!$B$26="DBO 1993",K14="Faschingsdienstag",O14=0),0,IF(AND(Start!$B$26="DBO 1993",K14="Faschingsdienstag ZA"),$E$5*24/2,IF(K14="ZA",$E$5*24,IF(OR(M14="frei",O14=0),0,$E$5*24)))))</f>
        <v>0</v>
      </c>
      <c r="Q14" s="81">
        <f t="shared" ca="1" si="3"/>
        <v>0</v>
      </c>
      <c r="R14" s="68" t="str">
        <f t="shared" ca="1" si="5"/>
        <v/>
      </c>
      <c r="S14" s="87">
        <f t="shared" ca="1" si="4"/>
        <v>0</v>
      </c>
    </row>
    <row r="15" spans="1:21" x14ac:dyDescent="0.2">
      <c r="A15" s="96">
        <f t="shared" ca="1" si="6"/>
        <v>45449</v>
      </c>
      <c r="B15" s="75"/>
      <c r="C15" s="72"/>
      <c r="D15" s="72"/>
      <c r="E15" s="72"/>
      <c r="F15" s="75"/>
      <c r="G15" s="72"/>
      <c r="H15" s="72"/>
      <c r="I15" s="71">
        <f t="shared" si="0"/>
        <v>0</v>
      </c>
      <c r="J15" s="72"/>
      <c r="K15" s="77"/>
      <c r="L15" s="95" t="str">
        <f t="shared" ca="1" si="1"/>
        <v/>
      </c>
      <c r="M15" s="159" t="str">
        <f ca="1">IF(OR(K15="Neujahr",K15="Dreikönig",K15="Gründonnerstag",K15="Karfreitag",K15="Ostermontag",K15="Staatsfeiertag",K15="Christi Himmelfahrt",K15="Pfingstmontag",K15="Fronleichnam",K15="Maria Himmelfahrt",K15="Nationalfeiertag",K15="Allerheiligen",K15="Allerseelen",K15="Maria Empfängnis",K15="Hl.Abend",K15="Christtag",K15="Stephanitag",K15="Silvester",),"frei",IF(OR(WEEKDAY(A15)='Static Data'!$C$27,WEEKDAY(A15)='Static Data'!$C$21,WEEKDAY(A15)='Static Data'!$C$22,WEEKDAY(A15)='Static Data'!$C$23,WEEKDAY(A15)='Static Data'!$C$24,WEEKDAY(A15)='Static Data'!$C$25,WEEKDAY(A15)=Start!$E$124),"frei",IF(AND(WEEKDAY(A15)=6,'Static Data'!$C$25=6),"frei",IF(AND(WEEKDAY(A15)=7,'Static Data'!$C$26=7),"frei",IF(AND(K15="Allerseelen",Start!$B$26="DBO 1993"),"frei",IF(AND(K15="Pfingstdienstag",Start!$B$26="DBO 1993"),"frei",IF(AND(K15="Hl. Josef", Start!$B$14="Tirol"),"frei",IF(AND(K15="Hl. Rupert", Start!$B$14="Salzburg"),"frei",IF(AND(Start!$B$26="DBO 1993",COUNTIF(K15,"Fasching*")),"FD",TEXT(A15,"TTT"))))))))))</f>
        <v>Do</v>
      </c>
      <c r="N15" s="147"/>
      <c r="O15" s="82">
        <f t="shared" si="2"/>
        <v>0</v>
      </c>
      <c r="P15" s="82">
        <f ca="1">IF(AND(Start!$B$26="DBO 1993",K15="Faschingsdienstag",O15&gt;0),$E$5*24/2,IF(AND(Start!$B$26="DBO 1993",K15="Faschingsdienstag",O15=0),0,IF(AND(Start!$B$26="DBO 1993",K15="Faschingsdienstag ZA"),$E$5*24/2,IF(K15="ZA",$E$5*24,IF(OR(M15="frei",O15=0),0,$E$5*24)))))</f>
        <v>0</v>
      </c>
      <c r="Q15" s="81">
        <f t="shared" ca="1" si="3"/>
        <v>0</v>
      </c>
      <c r="R15" s="68" t="str">
        <f t="shared" ca="1" si="5"/>
        <v/>
      </c>
      <c r="S15" s="87">
        <f t="shared" ca="1" si="4"/>
        <v>0</v>
      </c>
    </row>
    <row r="16" spans="1:21" x14ac:dyDescent="0.2">
      <c r="A16" s="96">
        <f t="shared" ca="1" si="6"/>
        <v>45450</v>
      </c>
      <c r="B16" s="75"/>
      <c r="C16" s="72"/>
      <c r="D16" s="72"/>
      <c r="E16" s="72"/>
      <c r="F16" s="75"/>
      <c r="G16" s="72"/>
      <c r="H16" s="72"/>
      <c r="I16" s="71">
        <f t="shared" si="0"/>
        <v>0</v>
      </c>
      <c r="J16" s="72"/>
      <c r="K16" s="77"/>
      <c r="L16" s="95" t="str">
        <f t="shared" ca="1" si="1"/>
        <v/>
      </c>
      <c r="M16" s="159" t="str">
        <f ca="1">IF(OR(K16="Neujahr",K16="Dreikönig",K16="Gründonnerstag",K16="Karfreitag",K16="Ostermontag",K16="Staatsfeiertag",K16="Christi Himmelfahrt",K16="Pfingstmontag",K16="Fronleichnam",K16="Maria Himmelfahrt",K16="Nationalfeiertag",K16="Allerheiligen",K16="Allerseelen",K16="Maria Empfängnis",K16="Hl.Abend",K16="Christtag",K16="Stephanitag",K16="Silvester",),"frei",IF(OR(WEEKDAY(A16)='Static Data'!$C$27,WEEKDAY(A16)='Static Data'!$C$21,WEEKDAY(A16)='Static Data'!$C$22,WEEKDAY(A16)='Static Data'!$C$23,WEEKDAY(A16)='Static Data'!$C$24,WEEKDAY(A16)='Static Data'!$C$25,WEEKDAY(A16)=Start!$E$124),"frei",IF(AND(WEEKDAY(A16)=6,'Static Data'!$C$25=6),"frei",IF(AND(WEEKDAY(A16)=7,'Static Data'!$C$26=7),"frei",IF(AND(K16="Allerseelen",Start!$B$26="DBO 1993"),"frei",IF(AND(K16="Pfingstdienstag",Start!$B$26="DBO 1993"),"frei",IF(AND(K16="Hl. Josef", Start!$B$14="Tirol"),"frei",IF(AND(K16="Hl. Rupert", Start!$B$14="Salzburg"),"frei",IF(AND(Start!$B$26="DBO 1993",COUNTIF(K16,"Fasching*")),"FD",TEXT(A16,"TTT"))))))))))</f>
        <v>Fr</v>
      </c>
      <c r="N16" s="147"/>
      <c r="O16" s="82">
        <f t="shared" si="2"/>
        <v>0</v>
      </c>
      <c r="P16" s="82">
        <f ca="1">IF(AND(Start!$B$26="DBO 1993",K16="Faschingsdienstag",O16&gt;0),$E$5*24/2,IF(AND(Start!$B$26="DBO 1993",K16="Faschingsdienstag",O16=0),0,IF(AND(Start!$B$26="DBO 1993",K16="Faschingsdienstag ZA"),$E$5*24/2,IF(K16="ZA",$E$5*24,IF(OR(M16="frei",O16=0),0,$E$5*24)))))</f>
        <v>0</v>
      </c>
      <c r="Q16" s="81">
        <f t="shared" ca="1" si="3"/>
        <v>0</v>
      </c>
      <c r="R16" s="68" t="str">
        <f t="shared" ca="1" si="5"/>
        <v/>
      </c>
      <c r="S16" s="87">
        <f t="shared" ca="1" si="4"/>
        <v>0</v>
      </c>
    </row>
    <row r="17" spans="1:19" x14ac:dyDescent="0.2">
      <c r="A17" s="96">
        <f t="shared" ca="1" si="6"/>
        <v>45451</v>
      </c>
      <c r="B17" s="75"/>
      <c r="C17" s="72"/>
      <c r="D17" s="72"/>
      <c r="E17" s="72"/>
      <c r="F17" s="75"/>
      <c r="G17" s="72"/>
      <c r="H17" s="72"/>
      <c r="I17" s="71">
        <f>(C17-B17)+(E17-D17)+(G17-F17)-H17</f>
        <v>0</v>
      </c>
      <c r="J17" s="72"/>
      <c r="K17" s="77"/>
      <c r="L17" s="95" t="str">
        <f t="shared" ca="1" si="1"/>
        <v/>
      </c>
      <c r="M17" s="159" t="str">
        <f ca="1">IF(OR(K17="Neujahr",K17="Dreikönig",K17="Gründonnerstag",K17="Karfreitag",K17="Ostermontag",K17="Staatsfeiertag",K17="Christi Himmelfahrt",K17="Pfingstmontag",K17="Fronleichnam",K17="Maria Himmelfahrt",K17="Nationalfeiertag",K17="Allerheiligen",K17="Allerseelen",K17="Maria Empfängnis",K17="Hl.Abend",K17="Christtag",K17="Stephanitag",K17="Silvester",),"frei",IF(OR(WEEKDAY(A17)='Static Data'!$C$27,WEEKDAY(A17)='Static Data'!$C$21,WEEKDAY(A17)='Static Data'!$C$22,WEEKDAY(A17)='Static Data'!$C$23,WEEKDAY(A17)='Static Data'!$C$24,WEEKDAY(A17)='Static Data'!$C$25,WEEKDAY(A17)=Start!$E$124),"frei",IF(AND(WEEKDAY(A17)=6,'Static Data'!$C$25=6),"frei",IF(AND(WEEKDAY(A17)=7,'Static Data'!$C$26=7),"frei",IF(AND(K17="Allerseelen",Start!$B$26="DBO 1993"),"frei",IF(AND(K17="Pfingstdienstag",Start!$B$26="DBO 1993"),"frei",IF(AND(K17="Hl. Josef", Start!$B$14="Tirol"),"frei",IF(AND(K17="Hl. Rupert", Start!$B$14="Salzburg"),"frei",IF(AND(Start!$B$26="DBO 1993",COUNTIF(K17,"Fasching*")),"FD",TEXT(A17,"TTT"))))))))))</f>
        <v>frei</v>
      </c>
      <c r="N17" s="147"/>
      <c r="O17" s="82">
        <f t="shared" si="2"/>
        <v>0</v>
      </c>
      <c r="P17" s="82">
        <f ca="1">IF(AND(Start!$B$26="DBO 1993",K17="Faschingsdienstag",O17&gt;0),$E$5*24/2,IF(AND(Start!$B$26="DBO 1993",K17="Faschingsdienstag",O17=0),0,IF(AND(Start!$B$26="DBO 1993",K17="Faschingsdienstag ZA"),$E$5*24/2,IF(K17="ZA",$E$5*24,IF(OR(M17="frei",O17=0),0,$E$5*24)))))</f>
        <v>0</v>
      </c>
      <c r="Q17" s="81">
        <f t="shared" ca="1" si="3"/>
        <v>0</v>
      </c>
      <c r="R17" s="68" t="str">
        <f t="shared" ca="1" si="5"/>
        <v/>
      </c>
      <c r="S17" s="87">
        <f t="shared" ca="1" si="4"/>
        <v>0</v>
      </c>
    </row>
    <row r="18" spans="1:19" x14ac:dyDescent="0.2">
      <c r="A18" s="96">
        <f t="shared" ca="1" si="6"/>
        <v>45452</v>
      </c>
      <c r="B18" s="75"/>
      <c r="C18" s="72"/>
      <c r="D18" s="72"/>
      <c r="E18" s="72"/>
      <c r="F18" s="75"/>
      <c r="G18" s="72"/>
      <c r="H18" s="72"/>
      <c r="I18" s="71">
        <f>(C18-B18)+(E18-D18)+(G18-F18)-H18</f>
        <v>0</v>
      </c>
      <c r="J18" s="72"/>
      <c r="K18" s="77"/>
      <c r="L18" s="95">
        <f t="shared" ca="1" si="1"/>
        <v>0</v>
      </c>
      <c r="M18" s="159" t="str">
        <f ca="1">IF(OR(K18="Neujahr",K18="Dreikönig",K18="Gründonnerstag",K18="Karfreitag",K18="Ostermontag",K18="Staatsfeiertag",K18="Christi Himmelfahrt",K18="Pfingstmontag",K18="Fronleichnam",K18="Maria Himmelfahrt",K18="Nationalfeiertag",K18="Allerheiligen",K18="Allerseelen",K18="Maria Empfängnis",K18="Hl.Abend",K18="Christtag",K18="Stephanitag",K18="Silvester",),"frei",IF(OR(WEEKDAY(A18)='Static Data'!$C$27,WEEKDAY(A18)='Static Data'!$C$21,WEEKDAY(A18)='Static Data'!$C$22,WEEKDAY(A18)='Static Data'!$C$23,WEEKDAY(A18)='Static Data'!$C$24,WEEKDAY(A18)='Static Data'!$C$25,WEEKDAY(A18)=Start!$E$124),"frei",IF(AND(WEEKDAY(A18)=6,'Static Data'!$C$25=6),"frei",IF(AND(WEEKDAY(A18)=7,'Static Data'!$C$26=7),"frei",IF(AND(K18="Allerseelen",Start!$B$26="DBO 1993"),"frei",IF(AND(K18="Pfingstdienstag",Start!$B$26="DBO 1993"),"frei",IF(AND(K18="Hl. Josef", Start!$B$14="Tirol"),"frei",IF(AND(K18="Hl. Rupert", Start!$B$14="Salzburg"),"frei",IF(AND(Start!$B$26="DBO 1993",COUNTIF(K18,"Fasching*")),"FD",TEXT(A18,"TTT"))))))))))</f>
        <v>frei</v>
      </c>
      <c r="N18" s="147"/>
      <c r="O18" s="82">
        <f t="shared" si="2"/>
        <v>0</v>
      </c>
      <c r="P18" s="82">
        <f ca="1">IF(AND(Start!$B$26="DBO 1993",K18="Faschingsdienstag",O18&gt;0),$E$5*24/2,IF(AND(Start!$B$26="DBO 1993",K18="Faschingsdienstag",O18=0),0,IF(AND(Start!$B$26="DBO 1993",K18="Faschingsdienstag ZA"),$E$5*24/2,IF(K18="ZA",$E$5*24,IF(OR(M18="frei",O18=0),0,$E$5*24)))))</f>
        <v>0</v>
      </c>
      <c r="Q18" s="81">
        <f ca="1">O18-P18</f>
        <v>0</v>
      </c>
      <c r="R18" s="68" t="str">
        <f t="shared" ca="1" si="5"/>
        <v/>
      </c>
      <c r="S18" s="87">
        <f t="shared" ca="1" si="4"/>
        <v>0</v>
      </c>
    </row>
    <row r="19" spans="1:19" x14ac:dyDescent="0.2">
      <c r="A19" s="96">
        <f t="shared" ca="1" si="6"/>
        <v>45453</v>
      </c>
      <c r="B19" s="75"/>
      <c r="C19" s="72"/>
      <c r="D19" s="72"/>
      <c r="E19" s="72"/>
      <c r="F19" s="75"/>
      <c r="G19" s="72"/>
      <c r="H19" s="72"/>
      <c r="I19" s="71">
        <f t="shared" si="0"/>
        <v>0</v>
      </c>
      <c r="J19" s="72"/>
      <c r="K19" s="77"/>
      <c r="L19" s="95" t="str">
        <f t="shared" ca="1" si="1"/>
        <v/>
      </c>
      <c r="M19" s="159" t="str">
        <f ca="1">IF(OR(K19="Neujahr",K19="Dreikönig",K19="Gründonnerstag",K19="Karfreitag",K19="Ostermontag",K19="Staatsfeiertag",K19="Christi Himmelfahrt",K19="Pfingstmontag",K19="Fronleichnam",K19="Maria Himmelfahrt",K19="Nationalfeiertag",K19="Allerheiligen",K19="Allerseelen",K19="Maria Empfängnis",K19="Hl.Abend",K19="Christtag",K19="Stephanitag",K19="Silvester",),"frei",IF(OR(WEEKDAY(A19)='Static Data'!$C$27,WEEKDAY(A19)='Static Data'!$C$21,WEEKDAY(A19)='Static Data'!$C$22,WEEKDAY(A19)='Static Data'!$C$23,WEEKDAY(A19)='Static Data'!$C$24,WEEKDAY(A19)='Static Data'!$C$25,WEEKDAY(A19)=Start!$E$124),"frei",IF(AND(WEEKDAY(A19)=6,'Static Data'!$C$25=6),"frei",IF(AND(WEEKDAY(A19)=7,'Static Data'!$C$26=7),"frei",IF(AND(K19="Allerseelen",Start!$B$26="DBO 1993"),"frei",IF(AND(K19="Pfingstdienstag",Start!$B$26="DBO 1993"),"frei",IF(AND(K19="Hl. Josef", Start!$B$14="Tirol"),"frei",IF(AND(K19="Hl. Rupert", Start!$B$14="Salzburg"),"frei",IF(AND(Start!$B$26="DBO 1993",COUNTIF(K19,"Fasching*")),"FD",TEXT(A19,"TTT"))))))))))</f>
        <v>Mo</v>
      </c>
      <c r="N19" s="147"/>
      <c r="O19" s="82">
        <f t="shared" si="2"/>
        <v>0</v>
      </c>
      <c r="P19" s="82">
        <f ca="1">IF(AND(Start!$B$26="DBO 1993",K19="Faschingsdienstag",O19&gt;0),$E$5*24/2,IF(AND(Start!$B$26="DBO 1993",K19="Faschingsdienstag",O19=0),0,IF(AND(Start!$B$26="DBO 1993",K19="Faschingsdienstag ZA"),$E$5*24/2,IF(K19="ZA",$E$5*24,IF(OR(M19="frei",O19=0),0,$E$5*24)))))</f>
        <v>0</v>
      </c>
      <c r="Q19" s="81">
        <f t="shared" ca="1" si="3"/>
        <v>0</v>
      </c>
      <c r="R19" s="68" t="str">
        <f t="shared" ca="1" si="5"/>
        <v/>
      </c>
      <c r="S19" s="87">
        <f t="shared" ca="1" si="4"/>
        <v>0</v>
      </c>
    </row>
    <row r="20" spans="1:19" x14ac:dyDescent="0.2">
      <c r="A20" s="96">
        <f t="shared" ca="1" si="6"/>
        <v>45454</v>
      </c>
      <c r="B20" s="75"/>
      <c r="C20" s="72"/>
      <c r="D20" s="72"/>
      <c r="E20" s="72"/>
      <c r="F20" s="75"/>
      <c r="G20" s="72"/>
      <c r="H20" s="72"/>
      <c r="I20" s="71">
        <f t="shared" si="0"/>
        <v>0</v>
      </c>
      <c r="J20" s="72"/>
      <c r="K20" s="77"/>
      <c r="L20" s="95" t="str">
        <f t="shared" ca="1" si="1"/>
        <v/>
      </c>
      <c r="M20" s="159" t="str">
        <f ca="1">IF(OR(K20="Neujahr",K20="Dreikönig",K20="Gründonnerstag",K20="Karfreitag",K20="Ostermontag",K20="Staatsfeiertag",K20="Christi Himmelfahrt",K20="Pfingstmontag",K20="Fronleichnam",K20="Maria Himmelfahrt",K20="Nationalfeiertag",K20="Allerheiligen",K20="Allerseelen",K20="Maria Empfängnis",K20="Hl.Abend",K20="Christtag",K20="Stephanitag",K20="Silvester",),"frei",IF(OR(WEEKDAY(A20)='Static Data'!$C$27,WEEKDAY(A20)='Static Data'!$C$21,WEEKDAY(A20)='Static Data'!$C$22,WEEKDAY(A20)='Static Data'!$C$23,WEEKDAY(A20)='Static Data'!$C$24,WEEKDAY(A20)='Static Data'!$C$25,WEEKDAY(A20)=Start!$E$124),"frei",IF(AND(WEEKDAY(A20)=6,'Static Data'!$C$25=6),"frei",IF(AND(WEEKDAY(A20)=7,'Static Data'!$C$26=7),"frei",IF(AND(K20="Allerseelen",Start!$B$26="DBO 1993"),"frei",IF(AND(K20="Pfingstdienstag",Start!$B$26="DBO 1993"),"frei",IF(AND(K20="Hl. Josef", Start!$B$14="Tirol"),"frei",IF(AND(K20="Hl. Rupert", Start!$B$14="Salzburg"),"frei",IF(AND(Start!$B$26="DBO 1993",COUNTIF(K20,"Fasching*")),"FD",TEXT(A20,"TTT"))))))))))</f>
        <v>Di</v>
      </c>
      <c r="N20" s="147"/>
      <c r="O20" s="82">
        <f t="shared" si="2"/>
        <v>0</v>
      </c>
      <c r="P20" s="82">
        <f ca="1">IF(AND(Start!$B$26="DBO 1993",K20="Faschingsdienstag",O20&gt;0),$E$5*24/2,IF(AND(Start!$B$26="DBO 1993",K20="Faschingsdienstag",O20=0),0,IF(AND(Start!$B$26="DBO 1993",K20="Faschingsdienstag ZA"),$E$5*24/2,IF(K20="ZA",$E$5*24,IF(OR(M20="frei",O20=0),0,$E$5*24)))))</f>
        <v>0</v>
      </c>
      <c r="Q20" s="81">
        <f t="shared" ca="1" si="3"/>
        <v>0</v>
      </c>
      <c r="R20" s="68" t="str">
        <f t="shared" ca="1" si="5"/>
        <v/>
      </c>
      <c r="S20" s="87">
        <f t="shared" ca="1" si="4"/>
        <v>0</v>
      </c>
    </row>
    <row r="21" spans="1:19" x14ac:dyDescent="0.2">
      <c r="A21" s="96">
        <f t="shared" ca="1" si="6"/>
        <v>45455</v>
      </c>
      <c r="B21" s="75"/>
      <c r="C21" s="72"/>
      <c r="D21" s="72"/>
      <c r="E21" s="72"/>
      <c r="F21" s="75"/>
      <c r="G21" s="72"/>
      <c r="H21" s="72"/>
      <c r="I21" s="71">
        <f t="shared" si="0"/>
        <v>0</v>
      </c>
      <c r="J21" s="72"/>
      <c r="K21" s="77"/>
      <c r="L21" s="95" t="str">
        <f t="shared" ca="1" si="1"/>
        <v/>
      </c>
      <c r="M21" s="159" t="str">
        <f ca="1">IF(OR(K21="Neujahr",K21="Dreikönig",K21="Gründonnerstag",K21="Karfreitag",K21="Ostermontag",K21="Staatsfeiertag",K21="Christi Himmelfahrt",K21="Pfingstmontag",K21="Fronleichnam",K21="Maria Himmelfahrt",K21="Nationalfeiertag",K21="Allerheiligen",K21="Allerseelen",K21="Maria Empfängnis",K21="Hl.Abend",K21="Christtag",K21="Stephanitag",K21="Silvester",),"frei",IF(OR(WEEKDAY(A21)='Static Data'!$C$27,WEEKDAY(A21)='Static Data'!$C$21,WEEKDAY(A21)='Static Data'!$C$22,WEEKDAY(A21)='Static Data'!$C$23,WEEKDAY(A21)='Static Data'!$C$24,WEEKDAY(A21)='Static Data'!$C$25,WEEKDAY(A21)=Start!$E$124),"frei",IF(AND(WEEKDAY(A21)=6,'Static Data'!$C$25=6),"frei",IF(AND(WEEKDAY(A21)=7,'Static Data'!$C$26=7),"frei",IF(AND(K21="Allerseelen",Start!$B$26="DBO 1993"),"frei",IF(AND(K21="Pfingstdienstag",Start!$B$26="DBO 1993"),"frei",IF(AND(K21="Hl. Josef", Start!$B$14="Tirol"),"frei",IF(AND(K21="Hl. Rupert", Start!$B$14="Salzburg"),"frei",IF(AND(Start!$B$26="DBO 1993",COUNTIF(K21,"Fasching*")),"FD",TEXT(A21,"TTT"))))))))))</f>
        <v>Mi</v>
      </c>
      <c r="N21" s="147"/>
      <c r="O21" s="82">
        <f t="shared" si="2"/>
        <v>0</v>
      </c>
      <c r="P21" s="82">
        <f ca="1">IF(AND(Start!$B$26="DBO 1993",K21="Faschingsdienstag",O21&gt;0),$E$5*24/2,IF(AND(Start!$B$26="DBO 1993",K21="Faschingsdienstag",O21=0),0,IF(AND(Start!$B$26="DBO 1993",K21="Faschingsdienstag ZA"),$E$5*24/2,IF(K21="ZA",$E$5*24,IF(OR(M21="frei",O21=0),0,$E$5*24)))))</f>
        <v>0</v>
      </c>
      <c r="Q21" s="81">
        <f t="shared" ca="1" si="3"/>
        <v>0</v>
      </c>
      <c r="R21" s="68" t="str">
        <f t="shared" ca="1" si="5"/>
        <v/>
      </c>
      <c r="S21" s="87">
        <f t="shared" ca="1" si="4"/>
        <v>0</v>
      </c>
    </row>
    <row r="22" spans="1:19" x14ac:dyDescent="0.2">
      <c r="A22" s="96">
        <f t="shared" ca="1" si="6"/>
        <v>45456</v>
      </c>
      <c r="B22" s="75"/>
      <c r="C22" s="72"/>
      <c r="D22" s="72"/>
      <c r="E22" s="72"/>
      <c r="F22" s="75"/>
      <c r="G22" s="72"/>
      <c r="H22" s="72"/>
      <c r="I22" s="71">
        <f t="shared" si="0"/>
        <v>0</v>
      </c>
      <c r="J22" s="72"/>
      <c r="K22" s="77"/>
      <c r="L22" s="95" t="str">
        <f t="shared" ca="1" si="1"/>
        <v/>
      </c>
      <c r="M22" s="159" t="str">
        <f ca="1">IF(OR(K22="Neujahr",K22="Dreikönig",K22="Gründonnerstag",K22="Karfreitag",K22="Ostermontag",K22="Staatsfeiertag",K22="Christi Himmelfahrt",K22="Pfingstmontag",K22="Fronleichnam",K22="Maria Himmelfahrt",K22="Nationalfeiertag",K22="Allerheiligen",K22="Allerseelen",K22="Maria Empfängnis",K22="Hl.Abend",K22="Christtag",K22="Stephanitag",K22="Silvester",),"frei",IF(OR(WEEKDAY(A22)='Static Data'!$C$27,WEEKDAY(A22)='Static Data'!$C$21,WEEKDAY(A22)='Static Data'!$C$22,WEEKDAY(A22)='Static Data'!$C$23,WEEKDAY(A22)='Static Data'!$C$24,WEEKDAY(A22)='Static Data'!$C$25,WEEKDAY(A22)=Start!$E$124),"frei",IF(AND(WEEKDAY(A22)=6,'Static Data'!$C$25=6),"frei",IF(AND(WEEKDAY(A22)=7,'Static Data'!$C$26=7),"frei",IF(AND(K22="Allerseelen",Start!$B$26="DBO 1993"),"frei",IF(AND(K22="Pfingstdienstag",Start!$B$26="DBO 1993"),"frei",IF(AND(K22="Hl. Josef", Start!$B$14="Tirol"),"frei",IF(AND(K22="Hl. Rupert", Start!$B$14="Salzburg"),"frei",IF(AND(Start!$B$26="DBO 1993",COUNTIF(K22,"Fasching*")),"FD",TEXT(A22,"TTT"))))))))))</f>
        <v>Do</v>
      </c>
      <c r="N22" s="147"/>
      <c r="O22" s="82">
        <f t="shared" si="2"/>
        <v>0</v>
      </c>
      <c r="P22" s="82">
        <f ca="1">IF(AND(Start!$B$26="DBO 1993",K22="Faschingsdienstag",O22&gt;0),$E$5*24/2,IF(AND(Start!$B$26="DBO 1993",K22="Faschingsdienstag",O22=0),0,IF(AND(Start!$B$26="DBO 1993",K22="Faschingsdienstag ZA"),$E$5*24/2,IF(K22="ZA",$E$5*24,IF(OR(M22="frei",O22=0),0,$E$5*24)))))</f>
        <v>0</v>
      </c>
      <c r="Q22" s="81">
        <f t="shared" ca="1" si="3"/>
        <v>0</v>
      </c>
      <c r="R22" s="68" t="str">
        <f t="shared" ca="1" si="5"/>
        <v/>
      </c>
      <c r="S22" s="87">
        <f t="shared" ca="1" si="4"/>
        <v>0</v>
      </c>
    </row>
    <row r="23" spans="1:19" x14ac:dyDescent="0.2">
      <c r="A23" s="96">
        <f t="shared" ca="1" si="6"/>
        <v>45457</v>
      </c>
      <c r="B23" s="75"/>
      <c r="C23" s="72"/>
      <c r="D23" s="72"/>
      <c r="E23" s="72"/>
      <c r="F23" s="75"/>
      <c r="G23" s="72"/>
      <c r="H23" s="72"/>
      <c r="I23" s="71">
        <f t="shared" si="0"/>
        <v>0</v>
      </c>
      <c r="J23" s="72"/>
      <c r="K23" s="77"/>
      <c r="L23" s="95" t="str">
        <f t="shared" ca="1" si="1"/>
        <v/>
      </c>
      <c r="M23" s="159" t="str">
        <f ca="1">IF(OR(K23="Neujahr",K23="Dreikönig",K23="Gründonnerstag",K23="Karfreitag",K23="Ostermontag",K23="Staatsfeiertag",K23="Christi Himmelfahrt",K23="Pfingstmontag",K23="Fronleichnam",K23="Maria Himmelfahrt",K23="Nationalfeiertag",K23="Allerheiligen",K23="Allerseelen",K23="Maria Empfängnis",K23="Hl.Abend",K23="Christtag",K23="Stephanitag",K23="Silvester",),"frei",IF(OR(WEEKDAY(A23)='Static Data'!$C$27,WEEKDAY(A23)='Static Data'!$C$21,WEEKDAY(A23)='Static Data'!$C$22,WEEKDAY(A23)='Static Data'!$C$23,WEEKDAY(A23)='Static Data'!$C$24,WEEKDAY(A23)='Static Data'!$C$25,WEEKDAY(A23)=Start!$E$124),"frei",IF(AND(WEEKDAY(A23)=6,'Static Data'!$C$25=6),"frei",IF(AND(WEEKDAY(A23)=7,'Static Data'!$C$26=7),"frei",IF(AND(K23="Allerseelen",Start!$B$26="DBO 1993"),"frei",IF(AND(K23="Pfingstdienstag",Start!$B$26="DBO 1993"),"frei",IF(AND(K23="Hl. Josef", Start!$B$14="Tirol"),"frei",IF(AND(K23="Hl. Rupert", Start!$B$14="Salzburg"),"frei",IF(AND(Start!$B$26="DBO 1993",COUNTIF(K23,"Fasching*")),"FD",TEXT(A23,"TTT"))))))))))</f>
        <v>Fr</v>
      </c>
      <c r="N23" s="147"/>
      <c r="O23" s="82">
        <f t="shared" si="2"/>
        <v>0</v>
      </c>
      <c r="P23" s="82">
        <f ca="1">IF(AND(Start!$B$26="DBO 1993",K23="Faschingsdienstag",O23&gt;0),$E$5*24/2,IF(AND(Start!$B$26="DBO 1993",K23="Faschingsdienstag",O23=0),0,IF(AND(Start!$B$26="DBO 1993",K23="Faschingsdienstag ZA"),$E$5*24/2,IF(K23="ZA",$E$5*24,IF(OR(M23="frei",O23=0),0,$E$5*24)))))</f>
        <v>0</v>
      </c>
      <c r="Q23" s="81">
        <f t="shared" ca="1" si="3"/>
        <v>0</v>
      </c>
      <c r="R23" s="68" t="str">
        <f t="shared" ca="1" si="5"/>
        <v/>
      </c>
      <c r="S23" s="87">
        <f t="shared" ca="1" si="4"/>
        <v>0</v>
      </c>
    </row>
    <row r="24" spans="1:19" x14ac:dyDescent="0.2">
      <c r="A24" s="96">
        <f t="shared" ca="1" si="6"/>
        <v>45458</v>
      </c>
      <c r="B24" s="75"/>
      <c r="C24" s="72"/>
      <c r="D24" s="72"/>
      <c r="E24" s="72"/>
      <c r="F24" s="75"/>
      <c r="G24" s="72"/>
      <c r="H24" s="72"/>
      <c r="I24" s="71">
        <f t="shared" si="0"/>
        <v>0</v>
      </c>
      <c r="J24" s="72"/>
      <c r="K24" s="77"/>
      <c r="L24" s="95" t="str">
        <f t="shared" ca="1" si="1"/>
        <v/>
      </c>
      <c r="M24" s="159" t="str">
        <f ca="1">IF(OR(K24="Neujahr",K24="Dreikönig",K24="Gründonnerstag",K24="Karfreitag",K24="Ostermontag",K24="Staatsfeiertag",K24="Christi Himmelfahrt",K24="Pfingstmontag",K24="Fronleichnam",K24="Maria Himmelfahrt",K24="Nationalfeiertag",K24="Allerheiligen",K24="Allerseelen",K24="Maria Empfängnis",K24="Hl.Abend",K24="Christtag",K24="Stephanitag",K24="Silvester",),"frei",IF(OR(WEEKDAY(A24)='Static Data'!$C$27,WEEKDAY(A24)='Static Data'!$C$21,WEEKDAY(A24)='Static Data'!$C$22,WEEKDAY(A24)='Static Data'!$C$23,WEEKDAY(A24)='Static Data'!$C$24,WEEKDAY(A24)='Static Data'!$C$25,WEEKDAY(A24)=Start!$E$124),"frei",IF(AND(WEEKDAY(A24)=6,'Static Data'!$C$25=6),"frei",IF(AND(WEEKDAY(A24)=7,'Static Data'!$C$26=7),"frei",IF(AND(K24="Allerseelen",Start!$B$26="DBO 1993"),"frei",IF(AND(K24="Pfingstdienstag",Start!$B$26="DBO 1993"),"frei",IF(AND(K24="Hl. Josef", Start!$B$14="Tirol"),"frei",IF(AND(K24="Hl. Rupert", Start!$B$14="Salzburg"),"frei",IF(AND(Start!$B$26="DBO 1993",COUNTIF(K24,"Fasching*")),"FD",TEXT(A24,"TTT"))))))))))</f>
        <v>frei</v>
      </c>
      <c r="N24" s="147"/>
      <c r="O24" s="82">
        <f t="shared" si="2"/>
        <v>0</v>
      </c>
      <c r="P24" s="82">
        <f ca="1">IF(AND(Start!$B$26="DBO 1993",K24="Faschingsdienstag",O24&gt;0),$E$5*24/2,IF(AND(Start!$B$26="DBO 1993",K24="Faschingsdienstag",O24=0),0,IF(AND(Start!$B$26="DBO 1993",K24="Faschingsdienstag ZA"),$E$5*24/2,IF(K24="ZA",$E$5*24,IF(OR(M24="frei",O24=0),0,$E$5*24)))))</f>
        <v>0</v>
      </c>
      <c r="Q24" s="81">
        <f t="shared" ca="1" si="3"/>
        <v>0</v>
      </c>
      <c r="R24" s="68" t="str">
        <f t="shared" ca="1" si="5"/>
        <v/>
      </c>
      <c r="S24" s="87">
        <f t="shared" ca="1" si="4"/>
        <v>0</v>
      </c>
    </row>
    <row r="25" spans="1:19" x14ac:dyDescent="0.2">
      <c r="A25" s="96">
        <f t="shared" ca="1" si="6"/>
        <v>45459</v>
      </c>
      <c r="B25" s="75"/>
      <c r="C25" s="72"/>
      <c r="D25" s="72"/>
      <c r="E25" s="72"/>
      <c r="F25" s="75"/>
      <c r="G25" s="72"/>
      <c r="H25" s="72"/>
      <c r="I25" s="71">
        <f t="shared" si="0"/>
        <v>0</v>
      </c>
      <c r="J25" s="72"/>
      <c r="K25" s="77"/>
      <c r="L25" s="95">
        <f t="shared" ca="1" si="1"/>
        <v>0</v>
      </c>
      <c r="M25" s="159" t="str">
        <f ca="1">IF(OR(K25="Neujahr",K25="Dreikönig",K25="Gründonnerstag",K25="Karfreitag",K25="Ostermontag",K25="Staatsfeiertag",K25="Christi Himmelfahrt",K25="Pfingstmontag",K25="Fronleichnam",K25="Maria Himmelfahrt",K25="Nationalfeiertag",K25="Allerheiligen",K25="Allerseelen",K25="Maria Empfängnis",K25="Hl.Abend",K25="Christtag",K25="Stephanitag",K25="Silvester",),"frei",IF(OR(WEEKDAY(A25)='Static Data'!$C$27,WEEKDAY(A25)='Static Data'!$C$21,WEEKDAY(A25)='Static Data'!$C$22,WEEKDAY(A25)='Static Data'!$C$23,WEEKDAY(A25)='Static Data'!$C$24,WEEKDAY(A25)='Static Data'!$C$25,WEEKDAY(A25)=Start!$E$124),"frei",IF(AND(WEEKDAY(A25)=6,'Static Data'!$C$25=6),"frei",IF(AND(WEEKDAY(A25)=7,'Static Data'!$C$26=7),"frei",IF(AND(K25="Allerseelen",Start!$B$26="DBO 1993"),"frei",IF(AND(K25="Pfingstdienstag",Start!$B$26="DBO 1993"),"frei",IF(AND(K25="Hl. Josef", Start!$B$14="Tirol"),"frei",IF(AND(K25="Hl. Rupert", Start!$B$14="Salzburg"),"frei",IF(AND(Start!$B$26="DBO 1993",COUNTIF(K25,"Fasching*")),"FD",TEXT(A25,"TTT"))))))))))</f>
        <v>frei</v>
      </c>
      <c r="N25" s="147"/>
      <c r="O25" s="82">
        <f t="shared" si="2"/>
        <v>0</v>
      </c>
      <c r="P25" s="82">
        <f ca="1">IF(AND(Start!$B$26="DBO 1993",K25="Faschingsdienstag",O25&gt;0),$E$5*24/2,IF(AND(Start!$B$26="DBO 1993",K25="Faschingsdienstag",O25=0),0,IF(AND(Start!$B$26="DBO 1993",K25="Faschingsdienstag ZA"),$E$5*24/2,IF(K25="ZA",$E$5*24,IF(OR(M25="frei",O25=0),0,$E$5*24)))))</f>
        <v>0</v>
      </c>
      <c r="Q25" s="81">
        <f t="shared" ca="1" si="3"/>
        <v>0</v>
      </c>
      <c r="R25" s="68" t="str">
        <f t="shared" ca="1" si="5"/>
        <v/>
      </c>
      <c r="S25" s="87">
        <f t="shared" ca="1" si="4"/>
        <v>0</v>
      </c>
    </row>
    <row r="26" spans="1:19" x14ac:dyDescent="0.2">
      <c r="A26" s="96">
        <f t="shared" ca="1" si="6"/>
        <v>45460</v>
      </c>
      <c r="B26" s="75"/>
      <c r="C26" s="72"/>
      <c r="D26" s="5"/>
      <c r="E26" s="5"/>
      <c r="F26" s="75"/>
      <c r="G26" s="72"/>
      <c r="H26" s="72"/>
      <c r="I26" s="71">
        <f t="shared" si="0"/>
        <v>0</v>
      </c>
      <c r="J26" s="72"/>
      <c r="K26" s="77"/>
      <c r="L26" s="95" t="str">
        <f t="shared" ca="1" si="1"/>
        <v/>
      </c>
      <c r="M26" s="159" t="str">
        <f ca="1">IF(OR(K26="Neujahr",K26="Dreikönig",K26="Gründonnerstag",K26="Karfreitag",K26="Ostermontag",K26="Staatsfeiertag",K26="Christi Himmelfahrt",K26="Pfingstmontag",K26="Fronleichnam",K26="Maria Himmelfahrt",K26="Nationalfeiertag",K26="Allerheiligen",K26="Allerseelen",K26="Maria Empfängnis",K26="Hl.Abend",K26="Christtag",K26="Stephanitag",K26="Silvester",),"frei",IF(OR(WEEKDAY(A26)='Static Data'!$C$27,WEEKDAY(A26)='Static Data'!$C$21,WEEKDAY(A26)='Static Data'!$C$22,WEEKDAY(A26)='Static Data'!$C$23,WEEKDAY(A26)='Static Data'!$C$24,WEEKDAY(A26)='Static Data'!$C$25,WEEKDAY(A26)=Start!$E$124),"frei",IF(AND(WEEKDAY(A26)=6,'Static Data'!$C$25=6),"frei",IF(AND(WEEKDAY(A26)=7,'Static Data'!$C$26=7),"frei",IF(AND(K26="Allerseelen",Start!$B$26="DBO 1993"),"frei",IF(AND(K26="Pfingstdienstag",Start!$B$26="DBO 1993"),"frei",IF(AND(K26="Hl. Josef", Start!$B$14="Tirol"),"frei",IF(AND(K26="Hl. Rupert", Start!$B$14="Salzburg"),"frei",IF(AND(Start!$B$26="DBO 1993",COUNTIF(K26,"Fasching*")),"FD",TEXT(A26,"TTT"))))))))))</f>
        <v>Mo</v>
      </c>
      <c r="N26" s="147"/>
      <c r="O26" s="82">
        <f t="shared" si="2"/>
        <v>0</v>
      </c>
      <c r="P26" s="82">
        <f ca="1">IF(AND(Start!$B$26="DBO 1993",K26="Faschingsdienstag",O26&gt;0),$E$5*24/2,IF(AND(Start!$B$26="DBO 1993",K26="Faschingsdienstag",O26=0),0,IF(AND(Start!$B$26="DBO 1993",K26="Faschingsdienstag ZA"),$E$5*24/2,IF(K26="ZA",$E$5*24,IF(OR(M26="frei",O26=0),0,$E$5*24)))))</f>
        <v>0</v>
      </c>
      <c r="Q26" s="81">
        <f t="shared" ca="1" si="3"/>
        <v>0</v>
      </c>
      <c r="R26" s="68" t="str">
        <f t="shared" ca="1" si="5"/>
        <v/>
      </c>
      <c r="S26" s="87">
        <f t="shared" ca="1" si="4"/>
        <v>0</v>
      </c>
    </row>
    <row r="27" spans="1:19" x14ac:dyDescent="0.2">
      <c r="A27" s="96">
        <f t="shared" ca="1" si="6"/>
        <v>45461</v>
      </c>
      <c r="B27" s="75"/>
      <c r="C27" s="72"/>
      <c r="D27" s="72"/>
      <c r="E27" s="72"/>
      <c r="F27" s="75"/>
      <c r="G27" s="72"/>
      <c r="H27" s="72"/>
      <c r="I27" s="71">
        <f t="shared" si="0"/>
        <v>0</v>
      </c>
      <c r="J27" s="72"/>
      <c r="K27" s="77"/>
      <c r="L27" s="95" t="str">
        <f t="shared" ca="1" si="1"/>
        <v/>
      </c>
      <c r="M27" s="159" t="str">
        <f ca="1">IF(OR(K27="Neujahr",K27="Dreikönig",K27="Gründonnerstag",K27="Karfreitag",K27="Ostermontag",K27="Staatsfeiertag",K27="Christi Himmelfahrt",K27="Pfingstmontag",K27="Fronleichnam",K27="Maria Himmelfahrt",K27="Nationalfeiertag",K27="Allerheiligen",K27="Allerseelen",K27="Maria Empfängnis",K27="Hl.Abend",K27="Christtag",K27="Stephanitag",K27="Silvester",),"frei",IF(OR(WEEKDAY(A27)='Static Data'!$C$27,WEEKDAY(A27)='Static Data'!$C$21,WEEKDAY(A27)='Static Data'!$C$22,WEEKDAY(A27)='Static Data'!$C$23,WEEKDAY(A27)='Static Data'!$C$24,WEEKDAY(A27)='Static Data'!$C$25,WEEKDAY(A27)=Start!$E$124),"frei",IF(AND(WEEKDAY(A27)=6,'Static Data'!$C$25=6),"frei",IF(AND(WEEKDAY(A27)=7,'Static Data'!$C$26=7),"frei",IF(AND(K27="Allerseelen",Start!$B$26="DBO 1993"),"frei",IF(AND(K27="Pfingstdienstag",Start!$B$26="DBO 1993"),"frei",IF(AND(K27="Hl. Josef", Start!$B$14="Tirol"),"frei",IF(AND(K27="Hl. Rupert", Start!$B$14="Salzburg"),"frei",IF(AND(Start!$B$26="DBO 1993",COUNTIF(K27,"Fasching*")),"FD",TEXT(A27,"TTT"))))))))))</f>
        <v>Di</v>
      </c>
      <c r="N27" s="147"/>
      <c r="O27" s="82">
        <f t="shared" si="2"/>
        <v>0</v>
      </c>
      <c r="P27" s="82">
        <f ca="1">IF(AND(Start!$B$26="DBO 1993",K27="Faschingsdienstag",O27&gt;0),$E$5*24/2,IF(AND(Start!$B$26="DBO 1993",K27="Faschingsdienstag",O27=0),0,IF(AND(Start!$B$26="DBO 1993",K27="Faschingsdienstag ZA"),$E$5*24/2,IF(K27="ZA",$E$5*24,IF(OR(M27="frei",O27=0),0,$E$5*24)))))</f>
        <v>0</v>
      </c>
      <c r="Q27" s="81">
        <f t="shared" ca="1" si="3"/>
        <v>0</v>
      </c>
      <c r="R27" s="68" t="str">
        <f t="shared" ca="1" si="5"/>
        <v/>
      </c>
      <c r="S27" s="87">
        <f t="shared" ca="1" si="4"/>
        <v>0</v>
      </c>
    </row>
    <row r="28" spans="1:19" x14ac:dyDescent="0.2">
      <c r="A28" s="96">
        <f t="shared" ca="1" si="6"/>
        <v>45462</v>
      </c>
      <c r="B28" s="75"/>
      <c r="C28" s="72"/>
      <c r="D28" s="72"/>
      <c r="E28" s="72"/>
      <c r="F28" s="75"/>
      <c r="G28" s="72"/>
      <c r="H28" s="72"/>
      <c r="I28" s="71">
        <f t="shared" si="0"/>
        <v>0</v>
      </c>
      <c r="J28" s="72"/>
      <c r="K28" s="77"/>
      <c r="L28" s="95" t="str">
        <f t="shared" ca="1" si="1"/>
        <v/>
      </c>
      <c r="M28" s="159" t="str">
        <f ca="1">IF(OR(K28="Neujahr",K28="Dreikönig",K28="Gründonnerstag",K28="Karfreitag",K28="Ostermontag",K28="Staatsfeiertag",K28="Christi Himmelfahrt",K28="Pfingstmontag",K28="Fronleichnam",K28="Maria Himmelfahrt",K28="Nationalfeiertag",K28="Allerheiligen",K28="Allerseelen",K28="Maria Empfängnis",K28="Hl.Abend",K28="Christtag",K28="Stephanitag",K28="Silvester",),"frei",IF(OR(WEEKDAY(A28)='Static Data'!$C$27,WEEKDAY(A28)='Static Data'!$C$21,WEEKDAY(A28)='Static Data'!$C$22,WEEKDAY(A28)='Static Data'!$C$23,WEEKDAY(A28)='Static Data'!$C$24,WEEKDAY(A28)='Static Data'!$C$25,WEEKDAY(A28)=Start!$E$124),"frei",IF(AND(WEEKDAY(A28)=6,'Static Data'!$C$25=6),"frei",IF(AND(WEEKDAY(A28)=7,'Static Data'!$C$26=7),"frei",IF(AND(K28="Allerseelen",Start!$B$26="DBO 1993"),"frei",IF(AND(K28="Pfingstdienstag",Start!$B$26="DBO 1993"),"frei",IF(AND(K28="Hl. Josef", Start!$B$14="Tirol"),"frei",IF(AND(K28="Hl. Rupert", Start!$B$14="Salzburg"),"frei",IF(AND(Start!$B$26="DBO 1993",COUNTIF(K28,"Fasching*")),"FD",TEXT(A28,"TTT"))))))))))</f>
        <v>Mi</v>
      </c>
      <c r="N28" s="147"/>
      <c r="O28" s="82">
        <f t="shared" si="2"/>
        <v>0</v>
      </c>
      <c r="P28" s="82">
        <f ca="1">IF(AND(Start!$B$26="DBO 1993",K28="Faschingsdienstag",O28&gt;0),$E$5*24/2,IF(AND(Start!$B$26="DBO 1993",K28="Faschingsdienstag",O28=0),0,IF(AND(Start!$B$26="DBO 1993",K28="Faschingsdienstag ZA"),$E$5*24/2,IF(K28="ZA",$E$5*24,IF(OR(M28="frei",O28=0),0,$E$5*24)))))</f>
        <v>0</v>
      </c>
      <c r="Q28" s="81">
        <f t="shared" ca="1" si="3"/>
        <v>0</v>
      </c>
      <c r="R28" s="68" t="str">
        <f t="shared" ca="1" si="5"/>
        <v/>
      </c>
      <c r="S28" s="87">
        <f t="shared" ca="1" si="4"/>
        <v>0</v>
      </c>
    </row>
    <row r="29" spans="1:19" x14ac:dyDescent="0.2">
      <c r="A29" s="96">
        <f t="shared" ca="1" si="6"/>
        <v>45463</v>
      </c>
      <c r="B29" s="75"/>
      <c r="C29" s="72"/>
      <c r="D29" s="72"/>
      <c r="E29" s="72"/>
      <c r="F29" s="75"/>
      <c r="G29" s="72"/>
      <c r="H29" s="72"/>
      <c r="I29" s="71">
        <f t="shared" si="0"/>
        <v>0</v>
      </c>
      <c r="J29" s="72"/>
      <c r="K29" s="77"/>
      <c r="L29" s="95" t="str">
        <f t="shared" ca="1" si="1"/>
        <v/>
      </c>
      <c r="M29" s="159" t="str">
        <f ca="1">IF(OR(K29="Neujahr",K29="Dreikönig",K29="Gründonnerstag",K29="Karfreitag",K29="Ostermontag",K29="Staatsfeiertag",K29="Christi Himmelfahrt",K29="Pfingstmontag",K29="Fronleichnam",K29="Maria Himmelfahrt",K29="Nationalfeiertag",K29="Allerheiligen",K29="Allerseelen",K29="Maria Empfängnis",K29="Hl.Abend",K29="Christtag",K29="Stephanitag",K29="Silvester",),"frei",IF(OR(WEEKDAY(A29)='Static Data'!$C$27,WEEKDAY(A29)='Static Data'!$C$21,WEEKDAY(A29)='Static Data'!$C$22,WEEKDAY(A29)='Static Data'!$C$23,WEEKDAY(A29)='Static Data'!$C$24,WEEKDAY(A29)='Static Data'!$C$25,WEEKDAY(A29)=Start!$E$124),"frei",IF(AND(WEEKDAY(A29)=6,'Static Data'!$C$25=6),"frei",IF(AND(WEEKDAY(A29)=7,'Static Data'!$C$26=7),"frei",IF(AND(K29="Allerseelen",Start!$B$26="DBO 1993"),"frei",IF(AND(K29="Pfingstdienstag",Start!$B$26="DBO 1993"),"frei",IF(AND(K29="Hl. Josef", Start!$B$14="Tirol"),"frei",IF(AND(K29="Hl. Rupert", Start!$B$14="Salzburg"),"frei",IF(AND(Start!$B$26="DBO 1993",COUNTIF(K29,"Fasching*")),"FD",TEXT(A29,"TTT"))))))))))</f>
        <v>Do</v>
      </c>
      <c r="N29" s="147"/>
      <c r="O29" s="82">
        <f t="shared" si="2"/>
        <v>0</v>
      </c>
      <c r="P29" s="82">
        <f ca="1">IF(AND(Start!$B$26="DBO 1993",K29="Faschingsdienstag",O29&gt;0),$E$5*24/2,IF(AND(Start!$B$26="DBO 1993",K29="Faschingsdienstag",O29=0),0,IF(AND(Start!$B$26="DBO 1993",K29="Faschingsdienstag ZA"),$E$5*24/2,IF(K29="ZA",$E$5*24,IF(OR(M29="frei",O29=0),0,$E$5*24)))))</f>
        <v>0</v>
      </c>
      <c r="Q29" s="81">
        <f t="shared" ca="1" si="3"/>
        <v>0</v>
      </c>
      <c r="R29" s="68" t="str">
        <f t="shared" ca="1" si="5"/>
        <v/>
      </c>
      <c r="S29" s="87">
        <f t="shared" ca="1" si="4"/>
        <v>0</v>
      </c>
    </row>
    <row r="30" spans="1:19" x14ac:dyDescent="0.2">
      <c r="A30" s="96">
        <f t="shared" ca="1" si="6"/>
        <v>45464</v>
      </c>
      <c r="B30" s="75"/>
      <c r="C30" s="72"/>
      <c r="D30" s="72"/>
      <c r="E30" s="72"/>
      <c r="F30" s="75"/>
      <c r="G30" s="72"/>
      <c r="H30" s="72"/>
      <c r="I30" s="71">
        <f t="shared" si="0"/>
        <v>0</v>
      </c>
      <c r="J30" s="72"/>
      <c r="K30" s="77"/>
      <c r="L30" s="95" t="str">
        <f t="shared" ca="1" si="1"/>
        <v/>
      </c>
      <c r="M30" s="159" t="str">
        <f ca="1">IF(OR(K30="Neujahr",K30="Dreikönig",K30="Gründonnerstag",K30="Karfreitag",K30="Ostermontag",K30="Staatsfeiertag",K30="Christi Himmelfahrt",K30="Pfingstmontag",K30="Fronleichnam",K30="Maria Himmelfahrt",K30="Nationalfeiertag",K30="Allerheiligen",K30="Allerseelen",K30="Maria Empfängnis",K30="Hl.Abend",K30="Christtag",K30="Stephanitag",K30="Silvester",),"frei",IF(OR(WEEKDAY(A30)='Static Data'!$C$27,WEEKDAY(A30)='Static Data'!$C$21,WEEKDAY(A30)='Static Data'!$C$22,WEEKDAY(A30)='Static Data'!$C$23,WEEKDAY(A30)='Static Data'!$C$24,WEEKDAY(A30)='Static Data'!$C$25,WEEKDAY(A30)=Start!$E$124),"frei",IF(AND(WEEKDAY(A30)=6,'Static Data'!$C$25=6),"frei",IF(AND(WEEKDAY(A30)=7,'Static Data'!$C$26=7),"frei",IF(AND(K30="Allerseelen",Start!$B$26="DBO 1993"),"frei",IF(AND(K30="Pfingstdienstag",Start!$B$26="DBO 1993"),"frei",IF(AND(K30="Hl. Josef", Start!$B$14="Tirol"),"frei",IF(AND(K30="Hl. Rupert", Start!$B$14="Salzburg"),"frei",IF(AND(Start!$B$26="DBO 1993",COUNTIF(K30,"Fasching*")),"FD",TEXT(A30,"TTT"))))))))))</f>
        <v>Fr</v>
      </c>
      <c r="N30" s="147"/>
      <c r="O30" s="82">
        <f t="shared" si="2"/>
        <v>0</v>
      </c>
      <c r="P30" s="82">
        <f ca="1">IF(AND(Start!$B$26="DBO 1993",K30="Faschingsdienstag",O30&gt;0),$E$5*24/2,IF(AND(Start!$B$26="DBO 1993",K30="Faschingsdienstag",O30=0),0,IF(AND(Start!$B$26="DBO 1993",K30="Faschingsdienstag ZA"),$E$5*24/2,IF(K30="ZA",$E$5*24,IF(OR(M30="frei",O30=0),0,$E$5*24)))))</f>
        <v>0</v>
      </c>
      <c r="Q30" s="81">
        <f t="shared" ca="1" si="3"/>
        <v>0</v>
      </c>
      <c r="R30" s="68" t="str">
        <f t="shared" ca="1" si="5"/>
        <v/>
      </c>
      <c r="S30" s="87">
        <f t="shared" ca="1" si="4"/>
        <v>0</v>
      </c>
    </row>
    <row r="31" spans="1:19" x14ac:dyDescent="0.2">
      <c r="A31" s="96">
        <f t="shared" ca="1" si="6"/>
        <v>45465</v>
      </c>
      <c r="B31" s="75"/>
      <c r="C31" s="72"/>
      <c r="D31" s="72"/>
      <c r="E31" s="72"/>
      <c r="F31" s="75"/>
      <c r="G31" s="72"/>
      <c r="H31" s="72"/>
      <c r="I31" s="71">
        <f t="shared" si="0"/>
        <v>0</v>
      </c>
      <c r="J31" s="72"/>
      <c r="K31" s="77"/>
      <c r="L31" s="95" t="str">
        <f t="shared" ca="1" si="1"/>
        <v/>
      </c>
      <c r="M31" s="159" t="str">
        <f ca="1">IF(OR(K31="Neujahr",K31="Dreikönig",K31="Gründonnerstag",K31="Karfreitag",K31="Ostermontag",K31="Staatsfeiertag",K31="Christi Himmelfahrt",K31="Pfingstmontag",K31="Fronleichnam",K31="Maria Himmelfahrt",K31="Nationalfeiertag",K31="Allerheiligen",K31="Allerseelen",K31="Maria Empfängnis",K31="Hl.Abend",K31="Christtag",K31="Stephanitag",K31="Silvester",),"frei",IF(OR(WEEKDAY(A31)='Static Data'!$C$27,WEEKDAY(A31)='Static Data'!$C$21,WEEKDAY(A31)='Static Data'!$C$22,WEEKDAY(A31)='Static Data'!$C$23,WEEKDAY(A31)='Static Data'!$C$24,WEEKDAY(A31)='Static Data'!$C$25,WEEKDAY(A31)=Start!$E$124),"frei",IF(AND(WEEKDAY(A31)=6,'Static Data'!$C$25=6),"frei",IF(AND(WEEKDAY(A31)=7,'Static Data'!$C$26=7),"frei",IF(AND(K31="Allerseelen",Start!$B$26="DBO 1993"),"frei",IF(AND(K31="Pfingstdienstag",Start!$B$26="DBO 1993"),"frei",IF(AND(K31="Hl. Josef", Start!$B$14="Tirol"),"frei",IF(AND(K31="Hl. Rupert", Start!$B$14="Salzburg"),"frei",IF(AND(Start!$B$26="DBO 1993",COUNTIF(K31,"Fasching*")),"FD",TEXT(A31,"TTT"))))))))))</f>
        <v>frei</v>
      </c>
      <c r="N31" s="147"/>
      <c r="O31" s="82">
        <f t="shared" si="2"/>
        <v>0</v>
      </c>
      <c r="P31" s="82">
        <f ca="1">IF(AND(Start!$B$26="DBO 1993",K31="Faschingsdienstag",O31&gt;0),$E$5*24/2,IF(AND(Start!$B$26="DBO 1993",K31="Faschingsdienstag",O31=0),0,IF(AND(Start!$B$26="DBO 1993",K31="Faschingsdienstag ZA"),$E$5*24/2,IF(K31="ZA",$E$5*24,IF(OR(M31="frei",O31=0),0,$E$5*24)))))</f>
        <v>0</v>
      </c>
      <c r="Q31" s="81">
        <f t="shared" ca="1" si="3"/>
        <v>0</v>
      </c>
      <c r="R31" s="68" t="str">
        <f t="shared" ca="1" si="5"/>
        <v/>
      </c>
      <c r="S31" s="87">
        <f t="shared" ca="1" si="4"/>
        <v>0</v>
      </c>
    </row>
    <row r="32" spans="1:19" x14ac:dyDescent="0.2">
      <c r="A32" s="96">
        <f t="shared" ca="1" si="6"/>
        <v>45466</v>
      </c>
      <c r="B32" s="75"/>
      <c r="C32" s="72"/>
      <c r="D32" s="72"/>
      <c r="E32" s="72"/>
      <c r="F32" s="75"/>
      <c r="G32" s="72"/>
      <c r="H32" s="72"/>
      <c r="I32" s="71">
        <f t="shared" si="0"/>
        <v>0</v>
      </c>
      <c r="J32" s="72"/>
      <c r="K32" s="77"/>
      <c r="L32" s="95">
        <f t="shared" ca="1" si="1"/>
        <v>0</v>
      </c>
      <c r="M32" s="159" t="str">
        <f ca="1">IF(OR(K32="Neujahr",K32="Dreikönig",K32="Gründonnerstag",K32="Karfreitag",K32="Ostermontag",K32="Staatsfeiertag",K32="Christi Himmelfahrt",K32="Pfingstmontag",K32="Fronleichnam",K32="Maria Himmelfahrt",K32="Nationalfeiertag",K32="Allerheiligen",K32="Allerseelen",K32="Maria Empfängnis",K32="Hl.Abend",K32="Christtag",K32="Stephanitag",K32="Silvester",),"frei",IF(OR(WEEKDAY(A32)='Static Data'!$C$27,WEEKDAY(A32)='Static Data'!$C$21,WEEKDAY(A32)='Static Data'!$C$22,WEEKDAY(A32)='Static Data'!$C$23,WEEKDAY(A32)='Static Data'!$C$24,WEEKDAY(A32)='Static Data'!$C$25,WEEKDAY(A32)=Start!$E$124),"frei",IF(AND(WEEKDAY(A32)=6,'Static Data'!$C$25=6),"frei",IF(AND(WEEKDAY(A32)=7,'Static Data'!$C$26=7),"frei",IF(AND(K32="Allerseelen",Start!$B$26="DBO 1993"),"frei",IF(AND(K32="Pfingstdienstag",Start!$B$26="DBO 1993"),"frei",IF(AND(K32="Hl. Josef", Start!$B$14="Tirol"),"frei",IF(AND(K32="Hl. Rupert", Start!$B$14="Salzburg"),"frei",IF(AND(Start!$B$26="DBO 1993",COUNTIF(K32,"Fasching*")),"FD",TEXT(A32,"TTT"))))))))))</f>
        <v>frei</v>
      </c>
      <c r="N32" s="147"/>
      <c r="O32" s="82">
        <f t="shared" si="2"/>
        <v>0</v>
      </c>
      <c r="P32" s="82">
        <f ca="1">IF(AND(Start!$B$26="DBO 1993",K32="Faschingsdienstag",O32&gt;0),$E$5*24/2,IF(AND(Start!$B$26="DBO 1993",K32="Faschingsdienstag",O32=0),0,IF(AND(Start!$B$26="DBO 1993",K32="Faschingsdienstag ZA"),$E$5*24/2,IF(K32="ZA",$E$5*24,IF(OR(M32="frei",O32=0),0,$E$5*24)))))</f>
        <v>0</v>
      </c>
      <c r="Q32" s="81">
        <f t="shared" ca="1" si="3"/>
        <v>0</v>
      </c>
      <c r="R32" s="68" t="str">
        <f t="shared" ca="1" si="5"/>
        <v/>
      </c>
      <c r="S32" s="87">
        <f t="shared" ca="1" si="4"/>
        <v>0</v>
      </c>
    </row>
    <row r="33" spans="1:19" x14ac:dyDescent="0.2">
      <c r="A33" s="96">
        <f t="shared" ca="1" si="6"/>
        <v>45467</v>
      </c>
      <c r="B33" s="75"/>
      <c r="C33" s="72"/>
      <c r="D33" s="72"/>
      <c r="E33" s="72"/>
      <c r="F33" s="75"/>
      <c r="G33" s="72"/>
      <c r="H33" s="72"/>
      <c r="I33" s="71">
        <f t="shared" si="0"/>
        <v>0</v>
      </c>
      <c r="J33" s="72"/>
      <c r="K33" s="77"/>
      <c r="L33" s="95" t="str">
        <f t="shared" ca="1" si="1"/>
        <v/>
      </c>
      <c r="M33" s="159" t="str">
        <f ca="1">IF(OR(K33="Neujahr",K33="Dreikönig",K33="Gründonnerstag",K33="Karfreitag",K33="Ostermontag",K33="Staatsfeiertag",K33="Christi Himmelfahrt",K33="Pfingstmontag",K33="Fronleichnam",K33="Maria Himmelfahrt",K33="Nationalfeiertag",K33="Allerheiligen",K33="Allerseelen",K33="Maria Empfängnis",K33="Hl.Abend",K33="Christtag",K33="Stephanitag",K33="Silvester",),"frei",IF(OR(WEEKDAY(A33)='Static Data'!$C$27,WEEKDAY(A33)='Static Data'!$C$21,WEEKDAY(A33)='Static Data'!$C$22,WEEKDAY(A33)='Static Data'!$C$23,WEEKDAY(A33)='Static Data'!$C$24,WEEKDAY(A33)='Static Data'!$C$25,WEEKDAY(A33)=Start!$E$124),"frei",IF(AND(WEEKDAY(A33)=6,'Static Data'!$C$25=6),"frei",IF(AND(WEEKDAY(A33)=7,'Static Data'!$C$26=7),"frei",IF(AND(K33="Allerseelen",Start!$B$26="DBO 1993"),"frei",IF(AND(K33="Pfingstdienstag",Start!$B$26="DBO 1993"),"frei",IF(AND(K33="Hl. Josef", Start!$B$14="Tirol"),"frei",IF(AND(K33="Hl. Rupert", Start!$B$14="Salzburg"),"frei",IF(AND(Start!$B$26="DBO 1993",COUNTIF(K33,"Fasching*")),"FD",TEXT(A33,"TTT"))))))))))</f>
        <v>Mo</v>
      </c>
      <c r="N33" s="147"/>
      <c r="O33" s="82">
        <f t="shared" si="2"/>
        <v>0</v>
      </c>
      <c r="P33" s="82">
        <f ca="1">IF(AND(Start!$B$26="DBO 1993",K33="Faschingsdienstag",O33&gt;0),$E$5*24/2,IF(AND(Start!$B$26="DBO 1993",K33="Faschingsdienstag",O33=0),0,IF(AND(Start!$B$26="DBO 1993",K33="Faschingsdienstag ZA"),$E$5*24/2,IF(K33="ZA",$E$5*24,IF(OR(M33="frei",O33=0),0,$E$5*24)))))</f>
        <v>0</v>
      </c>
      <c r="Q33" s="81">
        <f t="shared" ca="1" si="3"/>
        <v>0</v>
      </c>
      <c r="R33" s="68" t="str">
        <f t="shared" ca="1" si="5"/>
        <v/>
      </c>
      <c r="S33" s="87">
        <f t="shared" ca="1" si="4"/>
        <v>0</v>
      </c>
    </row>
    <row r="34" spans="1:19" x14ac:dyDescent="0.2">
      <c r="A34" s="96">
        <f t="shared" ca="1" si="6"/>
        <v>45468</v>
      </c>
      <c r="B34" s="75"/>
      <c r="C34" s="72"/>
      <c r="D34" s="72"/>
      <c r="E34" s="72"/>
      <c r="F34" s="75"/>
      <c r="G34" s="72"/>
      <c r="H34" s="72"/>
      <c r="I34" s="71">
        <f t="shared" si="0"/>
        <v>0</v>
      </c>
      <c r="J34" s="72"/>
      <c r="K34" s="77"/>
      <c r="L34" s="95" t="str">
        <f t="shared" ca="1" si="1"/>
        <v/>
      </c>
      <c r="M34" s="159" t="str">
        <f ca="1">IF(OR(K34="Neujahr",K34="Dreikönig",K34="Gründonnerstag",K34="Karfreitag",K34="Ostermontag",K34="Staatsfeiertag",K34="Christi Himmelfahrt",K34="Pfingstmontag",K34="Fronleichnam",K34="Maria Himmelfahrt",K34="Nationalfeiertag",K34="Allerheiligen",K34="Allerseelen",K34="Maria Empfängnis",K34="Hl.Abend",K34="Christtag",K34="Stephanitag",K34="Silvester",),"frei",IF(OR(WEEKDAY(A34)='Static Data'!$C$27,WEEKDAY(A34)='Static Data'!$C$21,WEEKDAY(A34)='Static Data'!$C$22,WEEKDAY(A34)='Static Data'!$C$23,WEEKDAY(A34)='Static Data'!$C$24,WEEKDAY(A34)='Static Data'!$C$25,WEEKDAY(A34)=Start!$E$124),"frei",IF(AND(WEEKDAY(A34)=6,'Static Data'!$C$25=6),"frei",IF(AND(WEEKDAY(A34)=7,'Static Data'!$C$26=7),"frei",IF(AND(K34="Allerseelen",Start!$B$26="DBO 1993"),"frei",IF(AND(K34="Pfingstdienstag",Start!$B$26="DBO 1993"),"frei",IF(AND(K34="Hl. Josef", Start!$B$14="Tirol"),"frei",IF(AND(K34="Hl. Rupert", Start!$B$14="Salzburg"),"frei",IF(AND(Start!$B$26="DBO 1993",COUNTIF(K34,"Fasching*")),"FD",TEXT(A34,"TTT"))))))))))</f>
        <v>Di</v>
      </c>
      <c r="N34" s="147"/>
      <c r="O34" s="82">
        <f t="shared" si="2"/>
        <v>0</v>
      </c>
      <c r="P34" s="82">
        <f ca="1">IF(AND(Start!$B$26="DBO 1993",K34="Faschingsdienstag",O34&gt;0),$E$5*24/2,IF(AND(Start!$B$26="DBO 1993",K34="Faschingsdienstag",O34=0),0,IF(AND(Start!$B$26="DBO 1993",K34="Faschingsdienstag ZA"),$E$5*24/2,IF(K34="ZA",$E$5*24,IF(OR(M34="frei",O34=0),0,$E$5*24)))))</f>
        <v>0</v>
      </c>
      <c r="Q34" s="81">
        <f t="shared" ca="1" si="3"/>
        <v>0</v>
      </c>
      <c r="R34" s="68" t="str">
        <f t="shared" ca="1" si="5"/>
        <v/>
      </c>
      <c r="S34" s="87">
        <f t="shared" ca="1" si="4"/>
        <v>0</v>
      </c>
    </row>
    <row r="35" spans="1:19" x14ac:dyDescent="0.2">
      <c r="A35" s="96">
        <f t="shared" ca="1" si="6"/>
        <v>45469</v>
      </c>
      <c r="B35" s="75"/>
      <c r="C35" s="72"/>
      <c r="D35" s="72"/>
      <c r="E35" s="72"/>
      <c r="F35" s="75"/>
      <c r="G35" s="72"/>
      <c r="H35" s="72"/>
      <c r="I35" s="71">
        <f t="shared" si="0"/>
        <v>0</v>
      </c>
      <c r="J35" s="72"/>
      <c r="K35" s="77"/>
      <c r="L35" s="95" t="str">
        <f t="shared" ca="1" si="1"/>
        <v/>
      </c>
      <c r="M35" s="159" t="str">
        <f ca="1">IF(OR(K35="Neujahr",K35="Dreikönig",K35="Gründonnerstag",K35="Karfreitag",K35="Ostermontag",K35="Staatsfeiertag",K35="Christi Himmelfahrt",K35="Pfingstmontag",K35="Fronleichnam",K35="Maria Himmelfahrt",K35="Nationalfeiertag",K35="Allerheiligen",K35="Allerseelen",K35="Maria Empfängnis",K35="Hl.Abend",K35="Christtag",K35="Stephanitag",K35="Silvester",),"frei",IF(OR(WEEKDAY(A35)='Static Data'!$C$27,WEEKDAY(A35)='Static Data'!$C$21,WEEKDAY(A35)='Static Data'!$C$22,WEEKDAY(A35)='Static Data'!$C$23,WEEKDAY(A35)='Static Data'!$C$24,WEEKDAY(A35)='Static Data'!$C$25,WEEKDAY(A35)=Start!$E$124),"frei",IF(AND(WEEKDAY(A35)=6,'Static Data'!$C$25=6),"frei",IF(AND(WEEKDAY(A35)=7,'Static Data'!$C$26=7),"frei",IF(AND(K35="Allerseelen",Start!$B$26="DBO 1993"),"frei",IF(AND(K35="Pfingstdienstag",Start!$B$26="DBO 1993"),"frei",IF(AND(K35="Hl. Josef", Start!$B$14="Tirol"),"frei",IF(AND(K35="Hl. Rupert", Start!$B$14="Salzburg"),"frei",IF(AND(Start!$B$26="DBO 1993",COUNTIF(K35,"Fasching*")),"FD",TEXT(A35,"TTT"))))))))))</f>
        <v>Mi</v>
      </c>
      <c r="N35" s="147"/>
      <c r="O35" s="82">
        <f t="shared" si="2"/>
        <v>0</v>
      </c>
      <c r="P35" s="82">
        <f ca="1">IF(AND(Start!$B$26="DBO 1993",K35="Faschingsdienstag",O35&gt;0),$E$5*24/2,IF(AND(Start!$B$26="DBO 1993",K35="Faschingsdienstag",O35=0),0,IF(AND(Start!$B$26="DBO 1993",K35="Faschingsdienstag ZA"),$E$5*24/2,IF(K35="ZA",$E$5*24,IF(OR(M35="frei",O35=0),0,$E$5*24)))))</f>
        <v>0</v>
      </c>
      <c r="Q35" s="81">
        <f t="shared" ca="1" si="3"/>
        <v>0</v>
      </c>
      <c r="R35" s="68" t="str">
        <f t="shared" ca="1" si="5"/>
        <v/>
      </c>
      <c r="S35" s="87">
        <f t="shared" ca="1" si="4"/>
        <v>0</v>
      </c>
    </row>
    <row r="36" spans="1:19" x14ac:dyDescent="0.2">
      <c r="A36" s="96">
        <f t="shared" ca="1" si="6"/>
        <v>45470</v>
      </c>
      <c r="B36" s="75"/>
      <c r="C36" s="72"/>
      <c r="D36" s="72"/>
      <c r="E36" s="72"/>
      <c r="F36" s="75"/>
      <c r="G36" s="72"/>
      <c r="H36" s="72"/>
      <c r="I36" s="71">
        <f t="shared" si="0"/>
        <v>0</v>
      </c>
      <c r="J36" s="72"/>
      <c r="K36" s="77"/>
      <c r="L36" s="95" t="str">
        <f t="shared" ca="1" si="1"/>
        <v/>
      </c>
      <c r="M36" s="159" t="str">
        <f ca="1">IF(OR(K36="Neujahr",K36="Dreikönig",K36="Gründonnerstag",K36="Karfreitag",K36="Ostermontag",K36="Staatsfeiertag",K36="Christi Himmelfahrt",K36="Pfingstmontag",K36="Fronleichnam",K36="Maria Himmelfahrt",K36="Nationalfeiertag",K36="Allerheiligen",K36="Allerseelen",K36="Maria Empfängnis",K36="Hl.Abend",K36="Christtag",K36="Stephanitag",K36="Silvester",),"frei",IF(OR(WEEKDAY(A36)='Static Data'!$C$27,WEEKDAY(A36)='Static Data'!$C$21,WEEKDAY(A36)='Static Data'!$C$22,WEEKDAY(A36)='Static Data'!$C$23,WEEKDAY(A36)='Static Data'!$C$24,WEEKDAY(A36)='Static Data'!$C$25,WEEKDAY(A36)=Start!$E$124),"frei",IF(AND(WEEKDAY(A36)=6,'Static Data'!$C$25=6),"frei",IF(AND(WEEKDAY(A36)=7,'Static Data'!$C$26=7),"frei",IF(AND(K36="Allerseelen",Start!$B$26="DBO 1993"),"frei",IF(AND(K36="Pfingstdienstag",Start!$B$26="DBO 1993"),"frei",IF(AND(K36="Hl. Josef", Start!$B$14="Tirol"),"frei",IF(AND(K36="Hl. Rupert", Start!$B$14="Salzburg"),"frei",IF(AND(Start!$B$26="DBO 1993",COUNTIF(K36,"Fasching*")),"FD",TEXT(A36,"TTT"))))))))))</f>
        <v>Do</v>
      </c>
      <c r="N36" s="147"/>
      <c r="O36" s="82">
        <f t="shared" si="2"/>
        <v>0</v>
      </c>
      <c r="P36" s="82">
        <f ca="1">IF(AND(Start!$B$26="DBO 1993",K36="Faschingsdienstag",O36&gt;0),$E$5*24/2,IF(AND(Start!$B$26="DBO 1993",K36="Faschingsdienstag",O36=0),0,IF(AND(Start!$B$26="DBO 1993",K36="Faschingsdienstag ZA"),$E$5*24/2,IF(K36="ZA",$E$5*24,IF(OR(M36="frei",O36=0),0,$E$5*24)))))</f>
        <v>0</v>
      </c>
      <c r="Q36" s="81">
        <f t="shared" ca="1" si="3"/>
        <v>0</v>
      </c>
      <c r="R36" s="68" t="str">
        <f t="shared" ca="1" si="5"/>
        <v/>
      </c>
      <c r="S36" s="87">
        <f t="shared" ca="1" si="4"/>
        <v>0</v>
      </c>
    </row>
    <row r="37" spans="1:19" x14ac:dyDescent="0.2">
      <c r="A37" s="96">
        <f t="shared" ca="1" si="6"/>
        <v>45471</v>
      </c>
      <c r="B37" s="75"/>
      <c r="C37" s="72"/>
      <c r="D37" s="72"/>
      <c r="E37" s="72"/>
      <c r="F37" s="75"/>
      <c r="G37" s="72"/>
      <c r="H37" s="72"/>
      <c r="I37" s="71">
        <f t="shared" si="0"/>
        <v>0</v>
      </c>
      <c r="J37" s="72"/>
      <c r="K37" s="77"/>
      <c r="L37" s="95" t="str">
        <f t="shared" ca="1" si="1"/>
        <v/>
      </c>
      <c r="M37" s="159" t="str">
        <f ca="1">IF(OR(K37="Neujahr",K37="Dreikönig",K37="Gründonnerstag",K37="Karfreitag",K37="Ostermontag",K37="Staatsfeiertag",K37="Christi Himmelfahrt",K37="Pfingstmontag",K37="Fronleichnam",K37="Maria Himmelfahrt",K37="Nationalfeiertag",K37="Allerheiligen",K37="Allerseelen",K37="Maria Empfängnis",K37="Hl.Abend",K37="Christtag",K37="Stephanitag",K37="Silvester",),"frei",IF(OR(WEEKDAY(A37)='Static Data'!$C$27,WEEKDAY(A37)='Static Data'!$C$21,WEEKDAY(A37)='Static Data'!$C$22,WEEKDAY(A37)='Static Data'!$C$23,WEEKDAY(A37)='Static Data'!$C$24,WEEKDAY(A37)='Static Data'!$C$25,WEEKDAY(A37)=Start!$E$124),"frei",IF(AND(WEEKDAY(A37)=6,'Static Data'!$C$25=6),"frei",IF(AND(WEEKDAY(A37)=7,'Static Data'!$C$26=7),"frei",IF(AND(K37="Allerseelen",Start!$B$26="DBO 1993"),"frei",IF(AND(K37="Pfingstdienstag",Start!$B$26="DBO 1993"),"frei",IF(AND(K37="Hl. Josef", Start!$B$14="Tirol"),"frei",IF(AND(K37="Hl. Rupert", Start!$B$14="Salzburg"),"frei",IF(AND(Start!$B$26="DBO 1993",COUNTIF(K37,"Fasching*")),"FD",TEXT(A37,"TTT"))))))))))</f>
        <v>Fr</v>
      </c>
      <c r="N37" s="147"/>
      <c r="O37" s="82">
        <f t="shared" si="2"/>
        <v>0</v>
      </c>
      <c r="P37" s="82">
        <f ca="1">IF(AND(Start!$B$26="DBO 1993",K37="Faschingsdienstag",O37&gt;0),$E$5*24/2,IF(AND(Start!$B$26="DBO 1993",K37="Faschingsdienstag",O37=0),0,IF(AND(Start!$B$26="DBO 1993",K37="Faschingsdienstag ZA"),$E$5*24/2,IF(K37="ZA",$E$5*24,IF(OR(M37="frei",O37=0),0,$E$5*24)))))</f>
        <v>0</v>
      </c>
      <c r="Q37" s="81">
        <f t="shared" ca="1" si="3"/>
        <v>0</v>
      </c>
      <c r="R37" s="68" t="str">
        <f t="shared" ca="1" si="5"/>
        <v/>
      </c>
      <c r="S37" s="87">
        <f t="shared" ca="1" si="4"/>
        <v>0</v>
      </c>
    </row>
    <row r="38" spans="1:19" x14ac:dyDescent="0.2">
      <c r="A38" s="96">
        <f t="shared" ca="1" si="6"/>
        <v>45472</v>
      </c>
      <c r="B38" s="75"/>
      <c r="C38" s="72"/>
      <c r="D38" s="72"/>
      <c r="E38" s="72"/>
      <c r="F38" s="75"/>
      <c r="G38" s="72"/>
      <c r="H38" s="72"/>
      <c r="I38" s="71">
        <f t="shared" si="0"/>
        <v>0</v>
      </c>
      <c r="J38" s="72"/>
      <c r="K38" s="77"/>
      <c r="L38" s="95" t="str">
        <f t="shared" ca="1" si="1"/>
        <v/>
      </c>
      <c r="M38" s="159" t="str">
        <f ca="1">IF(OR(K38="Neujahr",K38="Dreikönig",K38="Gründonnerstag",K38="Karfreitag",K38="Ostermontag",K38="Staatsfeiertag",K38="Christi Himmelfahrt",K38="Pfingstmontag",K38="Fronleichnam",K38="Maria Himmelfahrt",K38="Nationalfeiertag",K38="Allerheiligen",K38="Allerseelen",K38="Maria Empfängnis",K38="Hl.Abend",K38="Christtag",K38="Stephanitag",K38="Silvester",),"frei",IF(OR(WEEKDAY(A38)='Static Data'!$C$27,WEEKDAY(A38)='Static Data'!$C$21,WEEKDAY(A38)='Static Data'!$C$22,WEEKDAY(A38)='Static Data'!$C$23,WEEKDAY(A38)='Static Data'!$C$24,WEEKDAY(A38)='Static Data'!$C$25,WEEKDAY(A38)=Start!$E$124),"frei",IF(AND(WEEKDAY(A38)=6,'Static Data'!$C$25=6),"frei",IF(AND(WEEKDAY(A38)=7,'Static Data'!$C$26=7),"frei",IF(AND(K38="Allerseelen",Start!$B$26="DBO 1993"),"frei",IF(AND(K38="Pfingstdienstag",Start!$B$26="DBO 1993"),"frei",IF(AND(K38="Hl. Josef", Start!$B$14="Tirol"),"frei",IF(AND(K38="Hl. Rupert", Start!$B$14="Salzburg"),"frei",IF(AND(Start!$B$26="DBO 1993",COUNTIF(K38,"Fasching*")),"FD",TEXT(A38,"TTT"))))))))))</f>
        <v>frei</v>
      </c>
      <c r="N38" s="147"/>
      <c r="O38" s="82">
        <f t="shared" si="2"/>
        <v>0</v>
      </c>
      <c r="P38" s="82">
        <f ca="1">IF(AND(Start!$B$26="DBO 1993",K38="Faschingsdienstag",O38&gt;0),$E$5*24/2,IF(AND(Start!$B$26="DBO 1993",K38="Faschingsdienstag",O38=0),0,IF(AND(Start!$B$26="DBO 1993",K38="Faschingsdienstag ZA"),$E$5*24/2,IF(K38="ZA",$E$5*24,IF(OR(M38="frei",O38=0),0,$E$5*24)))))</f>
        <v>0</v>
      </c>
      <c r="Q38" s="81">
        <f t="shared" ca="1" si="3"/>
        <v>0</v>
      </c>
      <c r="R38" s="68" t="str">
        <f t="shared" ca="1" si="5"/>
        <v/>
      </c>
      <c r="S38" s="87">
        <f t="shared" ca="1" si="4"/>
        <v>0</v>
      </c>
    </row>
    <row r="39" spans="1:19" x14ac:dyDescent="0.2">
      <c r="A39" s="96">
        <f t="shared" ca="1" si="6"/>
        <v>45473</v>
      </c>
      <c r="B39" s="75"/>
      <c r="C39" s="72"/>
      <c r="D39" s="72"/>
      <c r="E39" s="72"/>
      <c r="F39" s="75"/>
      <c r="G39" s="76"/>
      <c r="H39" s="72"/>
      <c r="I39" s="71">
        <f t="shared" si="0"/>
        <v>0</v>
      </c>
      <c r="J39" s="72"/>
      <c r="K39" s="77"/>
      <c r="L39" s="95">
        <f t="shared" ca="1" si="1"/>
        <v>0</v>
      </c>
      <c r="M39" s="159" t="str">
        <f ca="1">IF(OR(K39="Neujahr",K39="Dreikönig",K39="Gründonnerstag",K39="Karfreitag",K39="Ostermontag",K39="Staatsfeiertag",K39="Christi Himmelfahrt",K39="Pfingstmontag",K39="Fronleichnam",K39="Maria Himmelfahrt",K39="Nationalfeiertag",K39="Allerheiligen",K39="Allerseelen",K39="Maria Empfängnis",K39="Hl.Abend",K39="Christtag",K39="Stephanitag",K39="Silvester",),"frei",IF(OR(WEEKDAY(A39)='Static Data'!$C$27,WEEKDAY(A39)='Static Data'!$C$21,WEEKDAY(A39)='Static Data'!$C$22,WEEKDAY(A39)='Static Data'!$C$23,WEEKDAY(A39)='Static Data'!$C$24,WEEKDAY(A39)='Static Data'!$C$25,WEEKDAY(A39)=Start!$E$124),"frei",IF(AND(WEEKDAY(A39)=6,'Static Data'!$C$25=6),"frei",IF(AND(WEEKDAY(A39)=7,'Static Data'!$C$26=7),"frei",IF(AND(K39="Allerseelen",Start!$B$26="DBO 1993"),"frei",IF(AND(K39="Pfingstdienstag",Start!$B$26="DBO 1993"),"frei",IF(AND(K39="Hl. Josef", Start!$B$14="Tirol"),"frei",IF(AND(K39="Hl. Rupert", Start!$B$14="Salzburg"),"frei",IF(AND(Start!$B$26="DBO 1993",COUNTIF(K39,"Fasching*")),"FD",TEXT(A39,"TTT"))))))))))</f>
        <v>frei</v>
      </c>
      <c r="N39" s="147"/>
      <c r="O39" s="82">
        <f t="shared" si="2"/>
        <v>0</v>
      </c>
      <c r="P39" s="82">
        <f ca="1">IF(AND(Start!$B$26="DBO 1993",K39="Faschingsdienstag",O39&gt;0),$E$5*24/2,IF(AND(Start!$B$26="DBO 1993",K39="Faschingsdienstag",O39=0),0,IF(AND(Start!$B$26="DBO 1993",K39="Faschingsdienstag ZA"),$E$5*24/2,IF(K39="ZA",$E$5*24,IF(OR(M39="frei",O39=0),0,$E$5*24)))))</f>
        <v>0</v>
      </c>
      <c r="Q39" s="81">
        <f t="shared" ca="1" si="3"/>
        <v>0</v>
      </c>
      <c r="R39" s="68" t="str">
        <f t="shared" ca="1" si="5"/>
        <v/>
      </c>
      <c r="S39" s="87">
        <f t="shared" ca="1" si="4"/>
        <v>0</v>
      </c>
    </row>
    <row r="40" spans="1:19" x14ac:dyDescent="0.2">
      <c r="A40" s="96" t="str">
        <f t="shared" ca="1" si="6"/>
        <v/>
      </c>
      <c r="B40" s="137"/>
      <c r="C40" s="76"/>
      <c r="D40" s="76"/>
      <c r="E40" s="76"/>
      <c r="F40" s="137"/>
      <c r="G40" s="76"/>
      <c r="H40" s="76"/>
      <c r="I40" s="138">
        <f t="shared" si="0"/>
        <v>0</v>
      </c>
      <c r="J40" s="76"/>
      <c r="K40" s="139"/>
      <c r="L40" s="95" t="str">
        <f t="shared" ca="1" si="1"/>
        <v/>
      </c>
      <c r="M40" s="159"/>
      <c r="N40" s="147"/>
      <c r="O40" s="82"/>
      <c r="P40" s="82">
        <f>IF(AND(Start!$B$26="DBO 1993",K40="Faschingsdienstag",O40&gt;0),$E$5*24/2,IF(AND(Start!$B$26="DBO 1993",K40="Faschingsdienstag",O40=0),0,IF(AND(Start!$B$26="DBO 1993",K40="Faschingsdienstag ZA"),$E$5*24/2,IF(K40="ZA",$E$5*24,IF(OR(M40="frei",O40=0),0,$E$5*24)))))</f>
        <v>0</v>
      </c>
      <c r="Q40" s="81"/>
      <c r="R40" s="68"/>
      <c r="S40" s="87">
        <f t="shared" ca="1" si="4"/>
        <v>0</v>
      </c>
    </row>
    <row r="41" spans="1:19" ht="4.5" customHeight="1" x14ac:dyDescent="0.2">
      <c r="A41" s="302"/>
      <c r="B41" s="276"/>
      <c r="C41" s="275"/>
      <c r="D41" s="275"/>
      <c r="E41" s="275"/>
      <c r="F41" s="276"/>
      <c r="G41" s="276"/>
      <c r="H41" s="275"/>
      <c r="I41" s="278"/>
      <c r="J41" s="275"/>
      <c r="K41" s="279"/>
      <c r="L41" s="294"/>
      <c r="M41" s="264"/>
      <c r="N41" s="147"/>
      <c r="O41" s="33"/>
      <c r="Q41" s="65"/>
      <c r="R41" s="265"/>
      <c r="S41" s="266"/>
    </row>
    <row r="42" spans="1:19" ht="16.5" customHeight="1" x14ac:dyDescent="0.2">
      <c r="A42" s="409" t="s">
        <v>186</v>
      </c>
      <c r="B42" s="410"/>
      <c r="C42" s="410"/>
      <c r="D42" s="410"/>
      <c r="E42" s="410"/>
      <c r="F42" s="410"/>
      <c r="G42" s="410"/>
      <c r="H42" s="410"/>
      <c r="I42" s="284">
        <f>IF(OR(I43&gt;0,G5&gt;0,H5&gt;0),IF(AND(Mai!I43=0,Mai!G5=0,Mai!H5=0),Start!B40,Mai!L47),0)</f>
        <v>0</v>
      </c>
      <c r="J42" s="2"/>
      <c r="K42" s="304" t="str">
        <f>IF(L42="","","Saldo")</f>
        <v/>
      </c>
      <c r="L42" s="301" t="str">
        <f>IF(L43="","",IF(I47&gt;40,I47,0))</f>
        <v/>
      </c>
      <c r="M42" s="79"/>
      <c r="N42" s="79"/>
      <c r="O42" s="33"/>
      <c r="P42" s="33"/>
      <c r="Q42" s="65"/>
      <c r="R42" s="24"/>
      <c r="S42" s="24"/>
    </row>
    <row r="43" spans="1:19" ht="20.25" customHeight="1" x14ac:dyDescent="0.2">
      <c r="A43" s="411" t="s">
        <v>22</v>
      </c>
      <c r="B43" s="412"/>
      <c r="C43" s="412"/>
      <c r="D43" s="412"/>
      <c r="E43" s="412"/>
      <c r="F43" s="412"/>
      <c r="G43" s="412"/>
      <c r="H43" s="412"/>
      <c r="I43" s="285">
        <f>SUM(I10:I40)*24</f>
        <v>0</v>
      </c>
      <c r="J43" s="2"/>
      <c r="K43" s="316" t="str">
        <f>"ausbezahlte Mehr- oder Überstunden"</f>
        <v>ausbezahlte Mehr- oder Überstunden</v>
      </c>
      <c r="L43" s="298"/>
      <c r="M43" s="79"/>
      <c r="N43" s="79"/>
      <c r="O43" s="402" t="s">
        <v>141</v>
      </c>
      <c r="P43" s="402"/>
      <c r="Q43" s="402"/>
      <c r="R43" s="402"/>
      <c r="S43" s="402"/>
    </row>
    <row r="44" spans="1:19" ht="24.75" customHeight="1" x14ac:dyDescent="0.2">
      <c r="A44" s="409" t="s">
        <v>170</v>
      </c>
      <c r="B44" s="410"/>
      <c r="C44" s="410"/>
      <c r="D44" s="410"/>
      <c r="E44" s="410"/>
      <c r="F44" s="410"/>
      <c r="G44" s="410"/>
      <c r="H44" s="410"/>
      <c r="I44" s="284">
        <f>(IF(OR(I43&gt;0,G5&gt;0,H5&gt;0),I5*24,0))</f>
        <v>0</v>
      </c>
      <c r="J44" s="305"/>
      <c r="K44" s="314" t="str">
        <f>IF(L43="","","Mehr- oder Überstunden die als Zeitausgleich übertragen werden")</f>
        <v/>
      </c>
      <c r="L44" s="300" t="str">
        <f>IF(L43="","",IF((L42-L43)&lt;40,0,IF(I47&gt;40,I47-L43-40,0)))</f>
        <v/>
      </c>
      <c r="M44" s="79"/>
      <c r="N44" s="79"/>
      <c r="O44" s="402"/>
      <c r="P44" s="402"/>
      <c r="Q44" s="402"/>
      <c r="R44" s="402"/>
      <c r="S44" s="402"/>
    </row>
    <row r="45" spans="1:19" ht="13.5" customHeight="1" x14ac:dyDescent="0.2">
      <c r="A45" s="411" t="s">
        <v>171</v>
      </c>
      <c r="B45" s="412"/>
      <c r="C45" s="412"/>
      <c r="D45" s="412"/>
      <c r="E45" s="412"/>
      <c r="F45" s="412"/>
      <c r="G45" s="412"/>
      <c r="H45" s="412"/>
      <c r="I45" s="285">
        <f>I43-I44</f>
        <v>0</v>
      </c>
      <c r="J45" s="305"/>
      <c r="K45" s="324" t="str">
        <f>IF(L45="","","Zuschlag in Stunden")</f>
        <v/>
      </c>
      <c r="L45" s="300" t="str">
        <f>IF(L43="","",L44/2)</f>
        <v/>
      </c>
      <c r="M45" s="79"/>
      <c r="N45" s="79"/>
      <c r="O45" s="402"/>
      <c r="P45" s="402"/>
      <c r="Q45" s="402"/>
      <c r="R45" s="402"/>
      <c r="S45" s="402"/>
    </row>
    <row r="46" spans="1:19" ht="17.25" hidden="1" customHeight="1" x14ac:dyDescent="0.2">
      <c r="A46" s="411"/>
      <c r="B46" s="412"/>
      <c r="C46" s="412"/>
      <c r="D46" s="412"/>
      <c r="E46" s="412"/>
      <c r="F46" s="412"/>
      <c r="G46" s="412"/>
      <c r="H46" s="412"/>
      <c r="I46" s="285"/>
      <c r="J46" s="305"/>
      <c r="K46" s="306"/>
      <c r="L46" s="300"/>
      <c r="M46" s="79"/>
      <c r="N46" s="79"/>
      <c r="O46" s="243"/>
      <c r="P46" s="243"/>
      <c r="Q46" s="243"/>
      <c r="R46" s="243"/>
      <c r="S46" s="243"/>
    </row>
    <row r="47" spans="1:19" ht="25.5" customHeight="1" thickBot="1" x14ac:dyDescent="0.25">
      <c r="A47" s="403" t="s">
        <v>16</v>
      </c>
      <c r="B47" s="404"/>
      <c r="C47" s="404"/>
      <c r="D47" s="404"/>
      <c r="E47" s="404"/>
      <c r="F47" s="404"/>
      <c r="G47" s="404"/>
      <c r="H47" s="405"/>
      <c r="I47" s="145">
        <f>I42+I45</f>
        <v>0</v>
      </c>
      <c r="J47" s="146"/>
      <c r="K47" s="312" t="s">
        <v>45</v>
      </c>
      <c r="L47" s="296">
        <f>IF(I47=0,0,IF(L42="",I47-L43,I47-L43+L45))</f>
        <v>0</v>
      </c>
    </row>
    <row r="48" spans="1:19" ht="13.5" thickTop="1" x14ac:dyDescent="0.2">
      <c r="A48" s="203"/>
      <c r="B48" s="203"/>
      <c r="C48" s="203"/>
      <c r="D48" s="203"/>
      <c r="E48" s="203"/>
      <c r="F48" s="203"/>
      <c r="G48" s="204"/>
      <c r="H48" s="204"/>
      <c r="I48" s="204"/>
      <c r="J48" s="205"/>
      <c r="K48" s="205"/>
    </row>
    <row r="49" spans="1:11" ht="18" customHeight="1" x14ac:dyDescent="0.2">
      <c r="A49" s="206" t="s">
        <v>48</v>
      </c>
      <c r="B49" s="203"/>
      <c r="C49" s="203"/>
      <c r="D49" s="203"/>
      <c r="E49" s="203"/>
      <c r="F49" s="203"/>
      <c r="H49" s="206" t="s">
        <v>9</v>
      </c>
      <c r="I49" s="205"/>
    </row>
    <row r="50" spans="1:11" x14ac:dyDescent="0.2">
      <c r="B50" s="207"/>
      <c r="C50" s="207"/>
      <c r="D50" s="207"/>
      <c r="E50" s="207"/>
      <c r="F50" s="207"/>
      <c r="G50" s="204"/>
      <c r="H50" s="204"/>
      <c r="I50" s="204"/>
      <c r="J50" s="205"/>
      <c r="K50" s="205"/>
    </row>
    <row r="51" spans="1:11" x14ac:dyDescent="0.2">
      <c r="A51" s="206" t="s">
        <v>10</v>
      </c>
    </row>
    <row r="55" spans="1:11" x14ac:dyDescent="0.2"/>
  </sheetData>
  <sheetProtection algorithmName="SHA-512" hashValue="CrN5TWLGog5JeHwxKYblCmgZ9G3iD7DIMJOl/glbhlz2NLFEcuUJoayPNyVwMD5yj6/SSbLF5JVZ8jrx1Gm1Bg==" saltValue="ON4B2EDosyMSgrafEvA8QA==" spinCount="100000" sheet="1" objects="1" scenarios="1"/>
  <protectedRanges>
    <protectedRange sqref="I46 L43" name="Bereich1"/>
  </protectedRanges>
  <mergeCells count="15">
    <mergeCell ref="F1:L1"/>
    <mergeCell ref="A1:E1"/>
    <mergeCell ref="O43:S45"/>
    <mergeCell ref="A47:H47"/>
    <mergeCell ref="A8:K8"/>
    <mergeCell ref="A42:H42"/>
    <mergeCell ref="A45:H45"/>
    <mergeCell ref="A43:H43"/>
    <mergeCell ref="A44:H44"/>
    <mergeCell ref="H3:J3"/>
    <mergeCell ref="H2:J2"/>
    <mergeCell ref="A46:H46"/>
    <mergeCell ref="B3:E3"/>
    <mergeCell ref="F2:G2"/>
    <mergeCell ref="F3:G3"/>
  </mergeCells>
  <conditionalFormatting sqref="A10:A41 J10:K11 J17:K23 J26:K39 J12:J16 J24:J25 J41:K41">
    <cfRule type="expression" dxfId="434" priority="217">
      <formula>WEEKDAY($A10,2)&gt;5</formula>
    </cfRule>
  </conditionalFormatting>
  <conditionalFormatting sqref="I10:I39 I41">
    <cfRule type="expression" dxfId="433" priority="207">
      <formula>(G10-F10)&gt;6/24</formula>
    </cfRule>
    <cfRule type="expression" dxfId="432" priority="208">
      <formula>(E10-D10)&gt;6/24</formula>
    </cfRule>
    <cfRule type="expression" dxfId="431" priority="209">
      <formula>(C10-B10)&gt;6/24</formula>
    </cfRule>
    <cfRule type="expression" dxfId="430" priority="211">
      <formula>WEEKDAY($A10,2)&gt;5</formula>
    </cfRule>
  </conditionalFormatting>
  <conditionalFormatting sqref="I10:I39 I41">
    <cfRule type="cellIs" dxfId="429" priority="210" operator="greaterThan">
      <formula>0.416666666666667</formula>
    </cfRule>
  </conditionalFormatting>
  <conditionalFormatting sqref="L47">
    <cfRule type="cellIs" dxfId="428" priority="204" operator="greaterThan">
      <formula>80</formula>
    </cfRule>
  </conditionalFormatting>
  <conditionalFormatting sqref="G10:H39 G41:H41">
    <cfRule type="expression" dxfId="427" priority="167">
      <formula>WEEKDAY($A10,2)&gt;5</formula>
    </cfRule>
  </conditionalFormatting>
  <conditionalFormatting sqref="L41 L10:L39">
    <cfRule type="expression" dxfId="426" priority="98">
      <formula>WEEKDAY($A10,2)&gt;5</formula>
    </cfRule>
  </conditionalFormatting>
  <conditionalFormatting sqref="L41 L10:L39">
    <cfRule type="cellIs" dxfId="425" priority="97" operator="greaterThan">
      <formula>2.08333333333333</formula>
    </cfRule>
  </conditionalFormatting>
  <conditionalFormatting sqref="L41 L10:L39">
    <cfRule type="expression" dxfId="424" priority="96">
      <formula>L10=""</formula>
    </cfRule>
  </conditionalFormatting>
  <conditionalFormatting sqref="B13:F14 F10:F11 D12:F12 B20:F21 F15:F19 B27:F28 F22:F25 D26:F26 B34:F35 F29:F33 B41:F41 F36:F39">
    <cfRule type="expression" dxfId="423" priority="95">
      <formula>WEEKDAY($A10,2)&gt;5</formula>
    </cfRule>
  </conditionalFormatting>
  <conditionalFormatting sqref="C10:E10">
    <cfRule type="expression" dxfId="422" priority="94">
      <formula>WEEKDAY($A10,2)&gt;5</formula>
    </cfRule>
  </conditionalFormatting>
  <conditionalFormatting sqref="B10">
    <cfRule type="expression" dxfId="421" priority="93">
      <formula>WEEKDAY($A10,2)&gt;5</formula>
    </cfRule>
  </conditionalFormatting>
  <conditionalFormatting sqref="C11:E11">
    <cfRule type="expression" dxfId="420" priority="92">
      <formula>WEEKDAY($A11,2)&gt;5</formula>
    </cfRule>
  </conditionalFormatting>
  <conditionalFormatting sqref="B11">
    <cfRule type="expression" dxfId="419" priority="91">
      <formula>WEEKDAY($A11,2)&gt;5</formula>
    </cfRule>
  </conditionalFormatting>
  <conditionalFormatting sqref="C12">
    <cfRule type="expression" dxfId="418" priority="90">
      <formula>WEEKDAY($A12,2)&gt;5</formula>
    </cfRule>
  </conditionalFormatting>
  <conditionalFormatting sqref="B12">
    <cfRule type="expression" dxfId="417" priority="89">
      <formula>WEEKDAY($A12,2)&gt;5</formula>
    </cfRule>
  </conditionalFormatting>
  <conditionalFormatting sqref="C15:E15">
    <cfRule type="expression" dxfId="416" priority="88">
      <formula>WEEKDAY($A15,2)&gt;5</formula>
    </cfRule>
  </conditionalFormatting>
  <conditionalFormatting sqref="B15">
    <cfRule type="expression" dxfId="415" priority="87">
      <formula>WEEKDAY($A15,2)&gt;5</formula>
    </cfRule>
  </conditionalFormatting>
  <conditionalFormatting sqref="C16:E16">
    <cfRule type="expression" dxfId="414" priority="86">
      <formula>WEEKDAY($A16,2)&gt;5</formula>
    </cfRule>
  </conditionalFormatting>
  <conditionalFormatting sqref="B16">
    <cfRule type="expression" dxfId="413" priority="85">
      <formula>WEEKDAY($A16,2)&gt;5</formula>
    </cfRule>
  </conditionalFormatting>
  <conditionalFormatting sqref="C17:E17">
    <cfRule type="expression" dxfId="412" priority="84">
      <formula>WEEKDAY($A17,2)&gt;5</formula>
    </cfRule>
  </conditionalFormatting>
  <conditionalFormatting sqref="B17">
    <cfRule type="expression" dxfId="411" priority="83">
      <formula>WEEKDAY($A17,2)&gt;5</formula>
    </cfRule>
  </conditionalFormatting>
  <conditionalFormatting sqref="C18:E18">
    <cfRule type="expression" dxfId="410" priority="82">
      <formula>WEEKDAY($A18,2)&gt;5</formula>
    </cfRule>
  </conditionalFormatting>
  <conditionalFormatting sqref="B18">
    <cfRule type="expression" dxfId="409" priority="81">
      <formula>WEEKDAY($A18,2)&gt;5</formula>
    </cfRule>
  </conditionalFormatting>
  <conditionalFormatting sqref="C19">
    <cfRule type="expression" dxfId="408" priority="80">
      <formula>WEEKDAY($A19,2)&gt;5</formula>
    </cfRule>
  </conditionalFormatting>
  <conditionalFormatting sqref="B19">
    <cfRule type="expression" dxfId="407" priority="79">
      <formula>WEEKDAY($A19,2)&gt;5</formula>
    </cfRule>
  </conditionalFormatting>
  <conditionalFormatting sqref="D19:E19">
    <cfRule type="expression" dxfId="406" priority="78">
      <formula>WEEKDAY($A19,2)&gt;5</formula>
    </cfRule>
  </conditionalFormatting>
  <conditionalFormatting sqref="C22:E22">
    <cfRule type="expression" dxfId="405" priority="77">
      <formula>WEEKDAY($A22,2)&gt;5</formula>
    </cfRule>
  </conditionalFormatting>
  <conditionalFormatting sqref="B22">
    <cfRule type="expression" dxfId="404" priority="76">
      <formula>WEEKDAY($A22,2)&gt;5</formula>
    </cfRule>
  </conditionalFormatting>
  <conditionalFormatting sqref="C23:E23">
    <cfRule type="expression" dxfId="403" priority="75">
      <formula>WEEKDAY($A23,2)&gt;5</formula>
    </cfRule>
  </conditionalFormatting>
  <conditionalFormatting sqref="B23">
    <cfRule type="expression" dxfId="402" priority="74">
      <formula>WEEKDAY($A23,2)&gt;5</formula>
    </cfRule>
  </conditionalFormatting>
  <conditionalFormatting sqref="C24:E24">
    <cfRule type="expression" dxfId="401" priority="73">
      <formula>WEEKDAY($A24,2)&gt;5</formula>
    </cfRule>
  </conditionalFormatting>
  <conditionalFormatting sqref="B24">
    <cfRule type="expression" dxfId="400" priority="72">
      <formula>WEEKDAY($A24,2)&gt;5</formula>
    </cfRule>
  </conditionalFormatting>
  <conditionalFormatting sqref="C25:E25">
    <cfRule type="expression" dxfId="399" priority="71">
      <formula>WEEKDAY($A25,2)&gt;5</formula>
    </cfRule>
  </conditionalFormatting>
  <conditionalFormatting sqref="B25">
    <cfRule type="expression" dxfId="398" priority="70">
      <formula>WEEKDAY($A25,2)&gt;5</formula>
    </cfRule>
  </conditionalFormatting>
  <conditionalFormatting sqref="C26">
    <cfRule type="expression" dxfId="397" priority="69">
      <formula>WEEKDAY($A26,2)&gt;5</formula>
    </cfRule>
  </conditionalFormatting>
  <conditionalFormatting sqref="B26">
    <cfRule type="expression" dxfId="396" priority="68">
      <formula>WEEKDAY($A26,2)&gt;5</formula>
    </cfRule>
  </conditionalFormatting>
  <conditionalFormatting sqref="C29:E29">
    <cfRule type="expression" dxfId="395" priority="67">
      <formula>WEEKDAY($A29,2)&gt;5</formula>
    </cfRule>
  </conditionalFormatting>
  <conditionalFormatting sqref="B29">
    <cfRule type="expression" dxfId="394" priority="66">
      <formula>WEEKDAY($A29,2)&gt;5</formula>
    </cfRule>
  </conditionalFormatting>
  <conditionalFormatting sqref="C30:E30">
    <cfRule type="expression" dxfId="393" priority="65">
      <formula>WEEKDAY($A30,2)&gt;5</formula>
    </cfRule>
  </conditionalFormatting>
  <conditionalFormatting sqref="B30">
    <cfRule type="expression" dxfId="392" priority="64">
      <formula>WEEKDAY($A30,2)&gt;5</formula>
    </cfRule>
  </conditionalFormatting>
  <conditionalFormatting sqref="C31:E31">
    <cfRule type="expression" dxfId="391" priority="63">
      <formula>WEEKDAY($A31,2)&gt;5</formula>
    </cfRule>
  </conditionalFormatting>
  <conditionalFormatting sqref="B31">
    <cfRule type="expression" dxfId="390" priority="62">
      <formula>WEEKDAY($A31,2)&gt;5</formula>
    </cfRule>
  </conditionalFormatting>
  <conditionalFormatting sqref="C32:E32">
    <cfRule type="expression" dxfId="389" priority="61">
      <formula>WEEKDAY($A32,2)&gt;5</formula>
    </cfRule>
  </conditionalFormatting>
  <conditionalFormatting sqref="B32">
    <cfRule type="expression" dxfId="388" priority="60">
      <formula>WEEKDAY($A32,2)&gt;5</formula>
    </cfRule>
  </conditionalFormatting>
  <conditionalFormatting sqref="C33">
    <cfRule type="expression" dxfId="387" priority="59">
      <formula>WEEKDAY($A33,2)&gt;5</formula>
    </cfRule>
  </conditionalFormatting>
  <conditionalFormatting sqref="B33">
    <cfRule type="expression" dxfId="386" priority="58">
      <formula>WEEKDAY($A33,2)&gt;5</formula>
    </cfRule>
  </conditionalFormatting>
  <conditionalFormatting sqref="D33:E33">
    <cfRule type="expression" dxfId="385" priority="57">
      <formula>WEEKDAY($A33,2)&gt;5</formula>
    </cfRule>
  </conditionalFormatting>
  <conditionalFormatting sqref="C36:E36">
    <cfRule type="expression" dxfId="384" priority="56">
      <formula>WEEKDAY($A36,2)&gt;5</formula>
    </cfRule>
  </conditionalFormatting>
  <conditionalFormatting sqref="B36">
    <cfRule type="expression" dxfId="383" priority="55">
      <formula>WEEKDAY($A36,2)&gt;5</formula>
    </cfRule>
  </conditionalFormatting>
  <conditionalFormatting sqref="C37:E37">
    <cfRule type="expression" dxfId="382" priority="54">
      <formula>WEEKDAY($A37,2)&gt;5</formula>
    </cfRule>
  </conditionalFormatting>
  <conditionalFormatting sqref="B37">
    <cfRule type="expression" dxfId="381" priority="53">
      <formula>WEEKDAY($A37,2)&gt;5</formula>
    </cfRule>
  </conditionalFormatting>
  <conditionalFormatting sqref="C38:E38">
    <cfRule type="expression" dxfId="380" priority="52">
      <formula>WEEKDAY($A38,2)&gt;5</formula>
    </cfRule>
  </conditionalFormatting>
  <conditionalFormatting sqref="B38">
    <cfRule type="expression" dxfId="379" priority="51">
      <formula>WEEKDAY($A38,2)&gt;5</formula>
    </cfRule>
  </conditionalFormatting>
  <conditionalFormatting sqref="C39:E39">
    <cfRule type="expression" dxfId="378" priority="50">
      <formula>WEEKDAY($A39,2)&gt;5</formula>
    </cfRule>
  </conditionalFormatting>
  <conditionalFormatting sqref="B39">
    <cfRule type="expression" dxfId="377" priority="49">
      <formula>WEEKDAY($A39,2)&gt;5</formula>
    </cfRule>
  </conditionalFormatting>
  <conditionalFormatting sqref="K13">
    <cfRule type="expression" dxfId="376" priority="48">
      <formula>WEEKDAY($A13,2)&gt;5</formula>
    </cfRule>
  </conditionalFormatting>
  <conditionalFormatting sqref="K24">
    <cfRule type="expression" dxfId="375" priority="47">
      <formula>WEEKDAY($A24,2)&gt;5</formula>
    </cfRule>
  </conditionalFormatting>
  <conditionalFormatting sqref="A10:K11 A13:K13 A12:J12 A17:K24 A14:J16 A26:K39 A25:J25 A40 A41:K41">
    <cfRule type="expression" dxfId="374" priority="46">
      <formula>$M10="frei"</formula>
    </cfRule>
  </conditionalFormatting>
  <conditionalFormatting sqref="K12">
    <cfRule type="expression" dxfId="373" priority="45">
      <formula>WEEKDAY($A12,2)&gt;5</formula>
    </cfRule>
  </conditionalFormatting>
  <conditionalFormatting sqref="K12">
    <cfRule type="expression" dxfId="372" priority="44">
      <formula>$M12="frei"</formula>
    </cfRule>
  </conditionalFormatting>
  <conditionalFormatting sqref="M10:M41">
    <cfRule type="expression" dxfId="371" priority="42">
      <formula>M10="FD"</formula>
    </cfRule>
    <cfRule type="expression" dxfId="370" priority="43">
      <formula>M10="frei"</formula>
    </cfRule>
  </conditionalFormatting>
  <conditionalFormatting sqref="K14">
    <cfRule type="expression" dxfId="369" priority="41">
      <formula>WEEKDAY($A14,2)&gt;5</formula>
    </cfRule>
  </conditionalFormatting>
  <conditionalFormatting sqref="K15">
    <cfRule type="expression" dxfId="368" priority="40">
      <formula>WEEKDAY($A15,2)&gt;5</formula>
    </cfRule>
  </conditionalFormatting>
  <conditionalFormatting sqref="K16">
    <cfRule type="expression" dxfId="367" priority="39">
      <formula>WEEKDAY($A16,2)&gt;5</formula>
    </cfRule>
  </conditionalFormatting>
  <conditionalFormatting sqref="K14:K16">
    <cfRule type="expression" dxfId="366" priority="38">
      <formula>$M14="frei"</formula>
    </cfRule>
  </conditionalFormatting>
  <conditionalFormatting sqref="K14:K16">
    <cfRule type="expression" dxfId="365" priority="37">
      <formula>WEEKDAY($A14,2)&gt;5</formula>
    </cfRule>
  </conditionalFormatting>
  <conditionalFormatting sqref="K25">
    <cfRule type="expression" dxfId="364" priority="36">
      <formula>WEEKDAY($A25,2)&gt;5</formula>
    </cfRule>
  </conditionalFormatting>
  <conditionalFormatting sqref="K25">
    <cfRule type="expression" dxfId="363" priority="35">
      <formula>$M25="frei"</formula>
    </cfRule>
  </conditionalFormatting>
  <conditionalFormatting sqref="A42">
    <cfRule type="expression" dxfId="362" priority="33">
      <formula>$M42="frei"</formula>
    </cfRule>
  </conditionalFormatting>
  <conditionalFormatting sqref="J40:K40">
    <cfRule type="expression" dxfId="361" priority="32">
      <formula>WEEKDAY($A40,2)&gt;5</formula>
    </cfRule>
  </conditionalFormatting>
  <conditionalFormatting sqref="I40">
    <cfRule type="expression" dxfId="360" priority="27">
      <formula>(G40-F40)&gt;6/24</formula>
    </cfRule>
    <cfRule type="expression" dxfId="359" priority="28">
      <formula>(E40-D40)&gt;6/24</formula>
    </cfRule>
    <cfRule type="expression" dxfId="358" priority="29">
      <formula>(C40-B40)&gt;6/24</formula>
    </cfRule>
    <cfRule type="expression" dxfId="357" priority="31">
      <formula>WEEKDAY($A40,2)&gt;5</formula>
    </cfRule>
  </conditionalFormatting>
  <conditionalFormatting sqref="I40">
    <cfRule type="cellIs" dxfId="356" priority="30" operator="greaterThan">
      <formula>0.416666666666667</formula>
    </cfRule>
  </conditionalFormatting>
  <conditionalFormatting sqref="H40">
    <cfRule type="expression" dxfId="355" priority="26">
      <formula>WEEKDAY($A40,2)&gt;5</formula>
    </cfRule>
  </conditionalFormatting>
  <conditionalFormatting sqref="F40">
    <cfRule type="expression" dxfId="354" priority="22">
      <formula>WEEKDAY($A40,2)&gt;5</formula>
    </cfRule>
  </conditionalFormatting>
  <conditionalFormatting sqref="C40:E40">
    <cfRule type="expression" dxfId="353" priority="21">
      <formula>WEEKDAY($A40,2)&gt;5</formula>
    </cfRule>
  </conditionalFormatting>
  <conditionalFormatting sqref="B40">
    <cfRule type="expression" dxfId="352" priority="20">
      <formula>WEEKDAY($A40,2)&gt;5</formula>
    </cfRule>
  </conditionalFormatting>
  <conditionalFormatting sqref="B40:F40 H40:K40">
    <cfRule type="expression" dxfId="351" priority="19">
      <formula>$M40="frei"</formula>
    </cfRule>
  </conditionalFormatting>
  <conditionalFormatting sqref="G40">
    <cfRule type="expression" dxfId="350" priority="18">
      <formula>WEEKDAY($A40,2)&gt;5</formula>
    </cfRule>
  </conditionalFormatting>
  <conditionalFormatting sqref="G40">
    <cfRule type="expression" dxfId="349" priority="17">
      <formula>$M40="frei"</formula>
    </cfRule>
  </conditionalFormatting>
  <conditionalFormatting sqref="G41">
    <cfRule type="expression" dxfId="348" priority="16">
      <formula>WEEKDAY($A41,2)&gt;5</formula>
    </cfRule>
  </conditionalFormatting>
  <conditionalFormatting sqref="G41">
    <cfRule type="expression" dxfId="347" priority="15">
      <formula>WEEKDAY($A41,2)&gt;5</formula>
    </cfRule>
  </conditionalFormatting>
  <conditionalFormatting sqref="L40">
    <cfRule type="expression" dxfId="346" priority="14">
      <formula>WEEKDAY($A40,2)&gt;5</formula>
    </cfRule>
  </conditionalFormatting>
  <conditionalFormatting sqref="L40">
    <cfRule type="cellIs" dxfId="345" priority="13" operator="greaterThan">
      <formula>2.08333333333333</formula>
    </cfRule>
  </conditionalFormatting>
  <conditionalFormatting sqref="L40">
    <cfRule type="expression" dxfId="344" priority="12">
      <formula>L40=""</formula>
    </cfRule>
  </conditionalFormatting>
  <conditionalFormatting sqref="J43 L43">
    <cfRule type="expression" dxfId="343" priority="9">
      <formula>WEEKDAY($A43,2)&gt;5</formula>
    </cfRule>
  </conditionalFormatting>
  <conditionalFormatting sqref="J43 L43">
    <cfRule type="expression" dxfId="342" priority="8">
      <formula>$M43="frei"</formula>
    </cfRule>
  </conditionalFormatting>
  <conditionalFormatting sqref="J42 L42">
    <cfRule type="expression" dxfId="341" priority="7">
      <formula>WEEKDAY($A42,2)&gt;5</formula>
    </cfRule>
  </conditionalFormatting>
  <conditionalFormatting sqref="J42 L42">
    <cfRule type="expression" dxfId="340" priority="6">
      <formula>$M42="frei"</formula>
    </cfRule>
  </conditionalFormatting>
  <conditionalFormatting sqref="K42">
    <cfRule type="expression" dxfId="339" priority="5">
      <formula>WEEKDAY($A42,2)&gt;5</formula>
    </cfRule>
  </conditionalFormatting>
  <conditionalFormatting sqref="K42">
    <cfRule type="expression" dxfId="338" priority="4">
      <formula>$M42="frei"</formula>
    </cfRule>
  </conditionalFormatting>
  <conditionalFormatting sqref="K43">
    <cfRule type="expression" dxfId="337" priority="3">
      <formula>WEEKDAY($A43,2)&gt;5</formula>
    </cfRule>
  </conditionalFormatting>
  <conditionalFormatting sqref="K43">
    <cfRule type="expression" dxfId="336" priority="2">
      <formula>$M43="frei"</formula>
    </cfRule>
  </conditionalFormatting>
  <conditionalFormatting sqref="I46">
    <cfRule type="expression" dxfId="335" priority="1">
      <formula>$I$46&gt;0</formula>
    </cfRule>
  </conditionalFormatting>
  <printOptions horizontalCentered="1" verticalCentered="1"/>
  <pageMargins left="0.27559055118110237" right="0.27559055118110237" top="0.49" bottom="0.39370078740157483" header="0.31496062992125984" footer="0.31496062992125984"/>
  <pageSetup paperSize="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29</vt:i4>
      </vt:variant>
    </vt:vector>
  </HeadingPairs>
  <TitlesOfParts>
    <vt:vector size="47" baseType="lpstr">
      <vt:lpstr>Static Data</vt:lpstr>
      <vt:lpstr>Beispiele</vt:lpstr>
      <vt:lpstr>Start</vt:lpstr>
      <vt:lpstr>Jän</vt:lpstr>
      <vt:lpstr>Feb</vt:lpstr>
      <vt:lpstr>Mär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Feiertage</vt:lpstr>
      <vt:lpstr>Zsfg</vt:lpstr>
      <vt:lpstr>Erläuterungen</vt:lpstr>
      <vt:lpstr>Di</vt:lpstr>
      <vt:lpstr>Dienstag</vt:lpstr>
      <vt:lpstr>Do</vt:lpstr>
      <vt:lpstr>Donnerstag</vt:lpstr>
      <vt:lpstr>Apr!Druckbereich</vt:lpstr>
      <vt:lpstr>Aug!Druckbereich</vt:lpstr>
      <vt:lpstr>Dez!Druckbereich</vt:lpstr>
      <vt:lpstr>Feb!Druckbereich</vt:lpstr>
      <vt:lpstr>Feiertage!Druckbereich</vt:lpstr>
      <vt:lpstr>Jän!Druckbereich</vt:lpstr>
      <vt:lpstr>Jul!Druckbereich</vt:lpstr>
      <vt:lpstr>Jun!Druckbereich</vt:lpstr>
      <vt:lpstr>Mai!Druckbereich</vt:lpstr>
      <vt:lpstr>Mär!Druckbereich</vt:lpstr>
      <vt:lpstr>Nov!Druckbereich</vt:lpstr>
      <vt:lpstr>Okt!Druckbereich</vt:lpstr>
      <vt:lpstr>Sep!Druckbereich</vt:lpstr>
      <vt:lpstr>Start!Druckbereich</vt:lpstr>
      <vt:lpstr>Zsfg!Druckbereich</vt:lpstr>
      <vt:lpstr>Fr</vt:lpstr>
      <vt:lpstr>Freitag</vt:lpstr>
      <vt:lpstr>Mi</vt:lpstr>
      <vt:lpstr>Mittwoch</vt:lpstr>
      <vt:lpstr>Mo</vt:lpstr>
      <vt:lpstr>Montag</vt:lpstr>
      <vt:lpstr>Sa</vt:lpstr>
      <vt:lpstr>Samstag</vt:lpstr>
      <vt:lpstr>So</vt:lpstr>
      <vt:lpstr>Sonntag</vt:lpstr>
    </vt:vector>
  </TitlesOfParts>
  <Company>Erzdiözese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 Matthias</dc:creator>
  <cp:lastModifiedBy>Graßmann Michaela</cp:lastModifiedBy>
  <cp:lastPrinted>2022-12-14T13:44:41Z</cp:lastPrinted>
  <dcterms:created xsi:type="dcterms:W3CDTF">2003-12-02T15:43:13Z</dcterms:created>
  <dcterms:modified xsi:type="dcterms:W3CDTF">2024-01-04T10:26:16Z</dcterms:modified>
</cp:coreProperties>
</file>